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tabRatio="859"/>
  </bookViews>
  <sheets>
    <sheet name="ANNEXURE-1" sheetId="14" r:id="rId1"/>
    <sheet name="ANNEXURE-2" sheetId="8" r:id="rId2"/>
    <sheet name="ANNEXURE-3" sheetId="10" r:id="rId3"/>
  </sheets>
  <definedNames>
    <definedName name="_xlnm._FilterDatabase" localSheetId="2" hidden="1">'ANNEXURE-3'!$A$17:$I$186</definedName>
    <definedName name="_xlnm.Print_Titles" localSheetId="0">'ANNEXURE-1'!$5:$7</definedName>
    <definedName name="_xlnm.Print_Titles" localSheetId="1">'ANNEXURE-2'!$4:$6</definedName>
    <definedName name="_xlnm.Print_Titles" localSheetId="2">'ANNEXURE-3'!$4:$6</definedName>
  </definedNames>
  <calcPr calcId="125725"/>
  <fileRecoveryPr autoRecover="0"/>
</workbook>
</file>

<file path=xl/calcChain.xml><?xml version="1.0" encoding="utf-8"?>
<calcChain xmlns="http://schemas.openxmlformats.org/spreadsheetml/2006/main">
  <c r="G157" i="10"/>
  <c r="G156"/>
  <c r="G184"/>
  <c r="H184" s="1"/>
  <c r="K172" i="14"/>
  <c r="L172" s="1"/>
  <c r="K171"/>
  <c r="L171" s="1"/>
  <c r="K170"/>
  <c r="L170" s="1"/>
  <c r="K169"/>
  <c r="L169" s="1"/>
  <c r="K168"/>
  <c r="L168" s="1"/>
  <c r="K167"/>
  <c r="L167" s="1"/>
  <c r="K166"/>
  <c r="L166" s="1"/>
  <c r="L163"/>
  <c r="L162"/>
  <c r="L160"/>
  <c r="L158"/>
  <c r="L157"/>
  <c r="L155"/>
  <c r="L153"/>
  <c r="L152"/>
  <c r="L151"/>
  <c r="L150"/>
  <c r="L149"/>
  <c r="L147"/>
  <c r="L146"/>
  <c r="L144"/>
  <c r="L143"/>
  <c r="L142"/>
  <c r="L141"/>
  <c r="L140"/>
  <c r="L139"/>
  <c r="L138"/>
  <c r="L137"/>
  <c r="L135"/>
  <c r="L134"/>
  <c r="L133"/>
  <c r="L132"/>
  <c r="L131"/>
  <c r="L127"/>
  <c r="L126"/>
  <c r="L124"/>
  <c r="L123"/>
  <c r="L122"/>
  <c r="K108"/>
  <c r="L108" s="1"/>
  <c r="K105"/>
  <c r="K104"/>
  <c r="K102"/>
  <c r="K97"/>
  <c r="L97" s="1"/>
  <c r="K96"/>
  <c r="L96" s="1"/>
  <c r="K95"/>
  <c r="L95" s="1"/>
  <c r="L94"/>
  <c r="L93"/>
  <c r="L92"/>
  <c r="K91"/>
  <c r="L91" s="1"/>
  <c r="K71"/>
  <c r="L71" s="1"/>
  <c r="K69"/>
  <c r="L69" s="1"/>
  <c r="K68"/>
  <c r="L68" s="1"/>
  <c r="K67"/>
  <c r="L67" s="1"/>
  <c r="K64"/>
  <c r="L64" s="1"/>
  <c r="K63"/>
  <c r="L63" s="1"/>
  <c r="K62"/>
  <c r="L62" s="1"/>
  <c r="K60"/>
  <c r="L60" s="1"/>
  <c r="K59"/>
  <c r="L59" s="1"/>
  <c r="L56"/>
  <c r="L55"/>
  <c r="L54"/>
  <c r="L53"/>
  <c r="L49"/>
  <c r="L48"/>
  <c r="K45"/>
  <c r="L45" s="1"/>
  <c r="K44"/>
  <c r="L44" s="1"/>
  <c r="K43"/>
  <c r="L43" s="1"/>
  <c r="K42"/>
  <c r="L42" s="1"/>
  <c r="K41"/>
  <c r="L41" s="1"/>
  <c r="K40"/>
  <c r="L40" s="1"/>
  <c r="K34"/>
  <c r="L34" s="1"/>
  <c r="K33"/>
  <c r="L33" s="1"/>
  <c r="K31"/>
  <c r="L31" s="1"/>
  <c r="K30"/>
  <c r="L30" s="1"/>
  <c r="K24"/>
  <c r="L24" s="1"/>
  <c r="K23"/>
  <c r="L23" s="1"/>
  <c r="K15"/>
  <c r="L15" s="1"/>
  <c r="L14"/>
  <c r="K13"/>
  <c r="L13" s="1"/>
  <c r="K12"/>
  <c r="L12" s="1"/>
  <c r="K11"/>
  <c r="L11" s="1"/>
  <c r="K10"/>
  <c r="L10" s="1"/>
  <c r="K9"/>
  <c r="L9" s="1"/>
  <c r="I184" i="10" l="1"/>
  <c r="H196"/>
  <c r="I196" s="1"/>
  <c r="H403" i="8"/>
  <c r="I403" s="1"/>
  <c r="H402" l="1"/>
  <c r="I402" s="1"/>
  <c r="H15" i="10" l="1"/>
  <c r="I15" s="1"/>
  <c r="G290" i="8" l="1"/>
  <c r="G289"/>
  <c r="G288"/>
  <c r="G287"/>
  <c r="G286"/>
  <c r="G78" l="1"/>
  <c r="G77"/>
  <c r="G52" l="1"/>
  <c r="H52" s="1"/>
  <c r="H141"/>
  <c r="I141" s="1"/>
  <c r="H142"/>
  <c r="I142" s="1"/>
  <c r="H143"/>
  <c r="I143" s="1"/>
  <c r="H144"/>
  <c r="I144" s="1"/>
  <c r="H140"/>
  <c r="I140" s="1"/>
  <c r="H295"/>
  <c r="H293"/>
  <c r="G294" l="1"/>
  <c r="G292"/>
  <c r="I295" l="1"/>
  <c r="I293"/>
  <c r="H195" i="10"/>
  <c r="I195" s="1"/>
  <c r="H194"/>
  <c r="H193"/>
  <c r="H192"/>
  <c r="I192" s="1"/>
  <c r="I193"/>
  <c r="I194"/>
  <c r="G33" i="8"/>
  <c r="H33" s="1"/>
  <c r="H189" i="10"/>
  <c r="I189" s="1"/>
  <c r="H190"/>
  <c r="I190" s="1"/>
  <c r="H191"/>
  <c r="I191" s="1"/>
  <c r="H188"/>
  <c r="I188" s="1"/>
  <c r="H119" i="8"/>
  <c r="I119" s="1"/>
  <c r="G174" i="10"/>
  <c r="H174" l="1"/>
  <c r="I174" s="1"/>
  <c r="I33" i="8"/>
  <c r="H163" i="10"/>
  <c r="I163" s="1"/>
  <c r="G28"/>
  <c r="G27"/>
  <c r="G26"/>
  <c r="G25"/>
  <c r="G24"/>
  <c r="G23"/>
  <c r="G21"/>
  <c r="G20"/>
  <c r="H75" l="1"/>
  <c r="I75" s="1"/>
  <c r="H70"/>
  <c r="I70" s="1"/>
  <c r="H71"/>
  <c r="I71" s="1"/>
  <c r="H72"/>
  <c r="I72" s="1"/>
  <c r="H73"/>
  <c r="I73" s="1"/>
  <c r="H74"/>
  <c r="I74" s="1"/>
  <c r="H69"/>
  <c r="I69" s="1"/>
  <c r="H62" l="1"/>
  <c r="I62" s="1"/>
  <c r="H58"/>
  <c r="F163" l="1"/>
  <c r="H160" l="1"/>
  <c r="I160" s="1"/>
  <c r="H161"/>
  <c r="I161" s="1"/>
  <c r="G154"/>
  <c r="G112" i="8"/>
  <c r="G111"/>
  <c r="G400"/>
  <c r="G399"/>
  <c r="G398"/>
  <c r="G397"/>
  <c r="G396"/>
  <c r="G340"/>
  <c r="G339"/>
  <c r="G318" l="1"/>
  <c r="G317"/>
  <c r="G315"/>
  <c r="G313"/>
  <c r="G316"/>
  <c r="G314"/>
  <c r="G186"/>
  <c r="G61"/>
  <c r="G60"/>
  <c r="G51"/>
  <c r="G187" i="10" l="1"/>
  <c r="H187" s="1"/>
  <c r="G185"/>
  <c r="I187" l="1"/>
  <c r="G183"/>
  <c r="G182"/>
  <c r="G181"/>
  <c r="G180"/>
  <c r="H180" s="1"/>
  <c r="G178"/>
  <c r="G177"/>
  <c r="G176"/>
  <c r="G175"/>
  <c r="G173"/>
  <c r="H173" s="1"/>
  <c r="G172"/>
  <c r="G171"/>
  <c r="G170"/>
  <c r="H170" s="1"/>
  <c r="G169"/>
  <c r="H169" s="1"/>
  <c r="G168"/>
  <c r="G167"/>
  <c r="G166"/>
  <c r="G165"/>
  <c r="G164"/>
  <c r="I173" l="1"/>
  <c r="I169"/>
  <c r="I170"/>
  <c r="I180"/>
  <c r="H183"/>
  <c r="G162"/>
  <c r="I183" l="1"/>
  <c r="H162"/>
  <c r="I162" s="1"/>
  <c r="G159"/>
  <c r="G158"/>
  <c r="H157"/>
  <c r="G153"/>
  <c r="H153" s="1"/>
  <c r="G152"/>
  <c r="G151"/>
  <c r="G150"/>
  <c r="G149"/>
  <c r="H149" s="1"/>
  <c r="G148"/>
  <c r="G147"/>
  <c r="H147" s="1"/>
  <c r="G145"/>
  <c r="G144"/>
  <c r="H144" s="1"/>
  <c r="G143"/>
  <c r="G142"/>
  <c r="H142" s="1"/>
  <c r="G141"/>
  <c r="G140"/>
  <c r="G139"/>
  <c r="G138"/>
  <c r="G137"/>
  <c r="G136"/>
  <c r="G135"/>
  <c r="G134"/>
  <c r="H134" s="1"/>
  <c r="G133"/>
  <c r="G132"/>
  <c r="G131"/>
  <c r="G130"/>
  <c r="H130" s="1"/>
  <c r="G129"/>
  <c r="G128"/>
  <c r="G127"/>
  <c r="H127" s="1"/>
  <c r="G126"/>
  <c r="G125"/>
  <c r="H125" s="1"/>
  <c r="G124"/>
  <c r="G122"/>
  <c r="G121"/>
  <c r="H121" s="1"/>
  <c r="G120"/>
  <c r="G119"/>
  <c r="G118"/>
  <c r="G117"/>
  <c r="G116"/>
  <c r="G115"/>
  <c r="G114"/>
  <c r="H114" s="1"/>
  <c r="G113"/>
  <c r="G112"/>
  <c r="H112" s="1"/>
  <c r="G111"/>
  <c r="G110"/>
  <c r="H110" s="1"/>
  <c r="G109"/>
  <c r="H109" s="1"/>
  <c r="G108"/>
  <c r="G107"/>
  <c r="G106"/>
  <c r="G105"/>
  <c r="G104"/>
  <c r="H104" s="1"/>
  <c r="G103"/>
  <c r="G102"/>
  <c r="H102" s="1"/>
  <c r="G101"/>
  <c r="G99"/>
  <c r="H99" s="1"/>
  <c r="G97"/>
  <c r="G96"/>
  <c r="G92"/>
  <c r="G91"/>
  <c r="G90"/>
  <c r="G89"/>
  <c r="G88"/>
  <c r="G87"/>
  <c r="G86"/>
  <c r="G84"/>
  <c r="H84" s="1"/>
  <c r="G83"/>
  <c r="G82"/>
  <c r="H82" s="1"/>
  <c r="G80"/>
  <c r="G79"/>
  <c r="G78"/>
  <c r="G77"/>
  <c r="G34"/>
  <c r="G33"/>
  <c r="H33" s="1"/>
  <c r="G32"/>
  <c r="H32" s="1"/>
  <c r="G31"/>
  <c r="H31" s="1"/>
  <c r="G30"/>
  <c r="H30" s="1"/>
  <c r="H27"/>
  <c r="H25"/>
  <c r="I31" l="1"/>
  <c r="I32"/>
  <c r="I82"/>
  <c r="I84"/>
  <c r="I99"/>
  <c r="I102"/>
  <c r="I25"/>
  <c r="I27"/>
  <c r="I30"/>
  <c r="I33"/>
  <c r="I104"/>
  <c r="I109"/>
  <c r="I110"/>
  <c r="I112"/>
  <c r="I114"/>
  <c r="I121"/>
  <c r="I125"/>
  <c r="I127"/>
  <c r="I130"/>
  <c r="I134"/>
  <c r="I142"/>
  <c r="I144"/>
  <c r="I147"/>
  <c r="I149"/>
  <c r="I153"/>
  <c r="I157"/>
  <c r="H21"/>
  <c r="H20"/>
  <c r="G19"/>
  <c r="G18"/>
  <c r="G17"/>
  <c r="H17" s="1"/>
  <c r="I17" l="1"/>
  <c r="H23"/>
  <c r="I23" s="1"/>
  <c r="I20"/>
  <c r="I21"/>
  <c r="H400" i="8" l="1"/>
  <c r="H399"/>
  <c r="I399" s="1"/>
  <c r="I400" l="1"/>
  <c r="H398"/>
  <c r="I398" s="1"/>
  <c r="G394"/>
  <c r="G393"/>
  <c r="G392"/>
  <c r="H392" s="1"/>
  <c r="G391"/>
  <c r="G390"/>
  <c r="G389"/>
  <c r="G387"/>
  <c r="H387" s="1"/>
  <c r="G386"/>
  <c r="G385"/>
  <c r="H385" s="1"/>
  <c r="G383"/>
  <c r="H383" s="1"/>
  <c r="G382"/>
  <c r="H382" s="1"/>
  <c r="H381"/>
  <c r="G381"/>
  <c r="G380"/>
  <c r="G379"/>
  <c r="H379" s="1"/>
  <c r="G378"/>
  <c r="I379" l="1"/>
  <c r="I381"/>
  <c r="I382"/>
  <c r="I383"/>
  <c r="I385"/>
  <c r="I387"/>
  <c r="I392"/>
  <c r="F377"/>
  <c r="G375"/>
  <c r="H375" s="1"/>
  <c r="G374"/>
  <c r="G373"/>
  <c r="H373" s="1"/>
  <c r="G371"/>
  <c r="G370"/>
  <c r="H370" s="1"/>
  <c r="G369"/>
  <c r="G368"/>
  <c r="G367"/>
  <c r="G366"/>
  <c r="H366" s="1"/>
  <c r="G365"/>
  <c r="H365" s="1"/>
  <c r="G364"/>
  <c r="H364" s="1"/>
  <c r="G363"/>
  <c r="H363" s="1"/>
  <c r="G362"/>
  <c r="H362" s="1"/>
  <c r="G361"/>
  <c r="H361" s="1"/>
  <c r="G360"/>
  <c r="H360" s="1"/>
  <c r="G359"/>
  <c r="H359" s="1"/>
  <c r="G358"/>
  <c r="G356"/>
  <c r="G355"/>
  <c r="H355" s="1"/>
  <c r="G354"/>
  <c r="G353"/>
  <c r="H353" s="1"/>
  <c r="G352"/>
  <c r="H352" s="1"/>
  <c r="G350"/>
  <c r="G349"/>
  <c r="G348"/>
  <c r="G347"/>
  <c r="G346"/>
  <c r="G345"/>
  <c r="G344"/>
  <c r="H344" s="1"/>
  <c r="G341"/>
  <c r="H340"/>
  <c r="H339"/>
  <c r="G337"/>
  <c r="G336"/>
  <c r="G335"/>
  <c r="G334"/>
  <c r="H334" s="1"/>
  <c r="G332"/>
  <c r="H332" s="1"/>
  <c r="G330"/>
  <c r="H330" s="1"/>
  <c r="G328"/>
  <c r="F327"/>
  <c r="F326"/>
  <c r="G324"/>
  <c r="H324" s="1"/>
  <c r="F323"/>
  <c r="F322"/>
  <c r="G320"/>
  <c r="H318"/>
  <c r="H317"/>
  <c r="I318" l="1"/>
  <c r="H348"/>
  <c r="I348" s="1"/>
  <c r="H368"/>
  <c r="I368" s="1"/>
  <c r="H346"/>
  <c r="I346" s="1"/>
  <c r="H350"/>
  <c r="I350" s="1"/>
  <c r="H320"/>
  <c r="I330"/>
  <c r="I332"/>
  <c r="I334"/>
  <c r="I340"/>
  <c r="H341"/>
  <c r="I341" s="1"/>
  <c r="I344"/>
  <c r="I375"/>
  <c r="I320"/>
  <c r="I324"/>
  <c r="I352"/>
  <c r="I353"/>
  <c r="I355"/>
  <c r="I359"/>
  <c r="I360"/>
  <c r="I361"/>
  <c r="I362"/>
  <c r="I363"/>
  <c r="I364"/>
  <c r="I365"/>
  <c r="I366"/>
  <c r="I370"/>
  <c r="I373"/>
  <c r="I339"/>
  <c r="I317"/>
  <c r="H315"/>
  <c r="I315" s="1"/>
  <c r="H313"/>
  <c r="G311"/>
  <c r="H311" s="1"/>
  <c r="G310"/>
  <c r="G309"/>
  <c r="H309" s="1"/>
  <c r="G308"/>
  <c r="G307"/>
  <c r="G305"/>
  <c r="G304"/>
  <c r="H304" s="1"/>
  <c r="G303"/>
  <c r="G301"/>
  <c r="G300"/>
  <c r="G298"/>
  <c r="G297"/>
  <c r="I304" l="1"/>
  <c r="I309"/>
  <c r="I311"/>
  <c r="I313"/>
  <c r="H297"/>
  <c r="H294"/>
  <c r="I294" s="1"/>
  <c r="I287"/>
  <c r="H287"/>
  <c r="H286"/>
  <c r="I286" s="1"/>
  <c r="G284"/>
  <c r="G283"/>
  <c r="G282"/>
  <c r="G277"/>
  <c r="G276"/>
  <c r="G274"/>
  <c r="H274" s="1"/>
  <c r="G272"/>
  <c r="G266"/>
  <c r="G265"/>
  <c r="H265" s="1"/>
  <c r="G263"/>
  <c r="G262"/>
  <c r="I274" l="1"/>
  <c r="H283"/>
  <c r="I283" s="1"/>
  <c r="H262"/>
  <c r="I262" s="1"/>
  <c r="H263"/>
  <c r="I263" s="1"/>
  <c r="H272"/>
  <c r="I272" s="1"/>
  <c r="H282"/>
  <c r="I282" s="1"/>
  <c r="H284"/>
  <c r="I284" s="1"/>
  <c r="I297"/>
  <c r="I265"/>
  <c r="G261"/>
  <c r="G260"/>
  <c r="G257"/>
  <c r="G252"/>
  <c r="H252" s="1"/>
  <c r="F250"/>
  <c r="G248"/>
  <c r="G247"/>
  <c r="H247" s="1"/>
  <c r="G246"/>
  <c r="G244"/>
  <c r="H244" s="1"/>
  <c r="G243"/>
  <c r="G242"/>
  <c r="H242" s="1"/>
  <c r="G240"/>
  <c r="H239"/>
  <c r="H237"/>
  <c r="G225"/>
  <c r="G224"/>
  <c r="H224" s="1"/>
  <c r="G223"/>
  <c r="G222"/>
  <c r="H222" s="1"/>
  <c r="G221"/>
  <c r="H221" s="1"/>
  <c r="G219"/>
  <c r="H219" s="1"/>
  <c r="G218"/>
  <c r="G215"/>
  <c r="G214"/>
  <c r="H214" s="1"/>
  <c r="G213"/>
  <c r="G212"/>
  <c r="G211"/>
  <c r="G210"/>
  <c r="G209"/>
  <c r="G207"/>
  <c r="H207" s="1"/>
  <c r="G206"/>
  <c r="G205"/>
  <c r="H205" s="1"/>
  <c r="G204"/>
  <c r="G203"/>
  <c r="H203" s="1"/>
  <c r="G202"/>
  <c r="G201"/>
  <c r="H201" s="1"/>
  <c r="G200"/>
  <c r="G199"/>
  <c r="H199" s="1"/>
  <c r="G198"/>
  <c r="G197"/>
  <c r="H197" s="1"/>
  <c r="G196"/>
  <c r="G195"/>
  <c r="H195" s="1"/>
  <c r="G194"/>
  <c r="G193"/>
  <c r="H193" s="1"/>
  <c r="G192"/>
  <c r="F191"/>
  <c r="F190"/>
  <c r="G187"/>
  <c r="H186"/>
  <c r="G184"/>
  <c r="H184" s="1"/>
  <c r="G183"/>
  <c r="G182"/>
  <c r="H182" s="1"/>
  <c r="G181"/>
  <c r="G180"/>
  <c r="G179"/>
  <c r="G178"/>
  <c r="G177"/>
  <c r="H177" s="1"/>
  <c r="G176"/>
  <c r="G175"/>
  <c r="G173"/>
  <c r="G172"/>
  <c r="G171"/>
  <c r="G170"/>
  <c r="G168"/>
  <c r="G167"/>
  <c r="G166"/>
  <c r="G165"/>
  <c r="G164"/>
  <c r="G163"/>
  <c r="G162"/>
  <c r="G161"/>
  <c r="G160"/>
  <c r="G159"/>
  <c r="G158"/>
  <c r="G157"/>
  <c r="G155"/>
  <c r="G154"/>
  <c r="G153"/>
  <c r="G152"/>
  <c r="G139"/>
  <c r="H139" s="1"/>
  <c r="G138"/>
  <c r="G137"/>
  <c r="H137" s="1"/>
  <c r="G135"/>
  <c r="H135" s="1"/>
  <c r="G132"/>
  <c r="G131"/>
  <c r="H131" s="1"/>
  <c r="G130"/>
  <c r="G129"/>
  <c r="G128"/>
  <c r="G126"/>
  <c r="H126" s="1"/>
  <c r="G124"/>
  <c r="G123"/>
  <c r="G122"/>
  <c r="H122" s="1"/>
  <c r="G120"/>
  <c r="H120" s="1"/>
  <c r="G118"/>
  <c r="H118" s="1"/>
  <c r="H112"/>
  <c r="I112" s="1"/>
  <c r="G108"/>
  <c r="G107"/>
  <c r="G105"/>
  <c r="G104"/>
  <c r="G103"/>
  <c r="G102"/>
  <c r="G101"/>
  <c r="G100"/>
  <c r="G99"/>
  <c r="G98"/>
  <c r="G97"/>
  <c r="G96"/>
  <c r="G95"/>
  <c r="G94"/>
  <c r="G93"/>
  <c r="G92"/>
  <c r="G91"/>
  <c r="G90"/>
  <c r="G89"/>
  <c r="G87"/>
  <c r="H87" s="1"/>
  <c r="G86"/>
  <c r="G85"/>
  <c r="H85" s="1"/>
  <c r="G84"/>
  <c r="G82"/>
  <c r="G81"/>
  <c r="G80"/>
  <c r="G72"/>
  <c r="G71"/>
  <c r="H71" s="1"/>
  <c r="G70"/>
  <c r="G69"/>
  <c r="H69" s="1"/>
  <c r="G67"/>
  <c r="I221" l="1"/>
  <c r="H70"/>
  <c r="I70" s="1"/>
  <c r="H225"/>
  <c r="I225" s="1"/>
  <c r="H72"/>
  <c r="I72" s="1"/>
  <c r="I186"/>
  <c r="H218"/>
  <c r="I218" s="1"/>
  <c r="H223"/>
  <c r="I223" s="1"/>
  <c r="I71"/>
  <c r="I137"/>
  <c r="I182"/>
  <c r="I184"/>
  <c r="I193"/>
  <c r="I195"/>
  <c r="I197"/>
  <c r="I199"/>
  <c r="I201"/>
  <c r="I203"/>
  <c r="I205"/>
  <c r="I207"/>
  <c r="I219"/>
  <c r="I222"/>
  <c r="I224"/>
  <c r="I237"/>
  <c r="I239"/>
  <c r="I244"/>
  <c r="I247"/>
  <c r="I252"/>
  <c r="H260"/>
  <c r="I260" s="1"/>
  <c r="H261"/>
  <c r="I69"/>
  <c r="I85"/>
  <c r="I87"/>
  <c r="I139"/>
  <c r="I177"/>
  <c r="H89"/>
  <c r="I89" s="1"/>
  <c r="I118"/>
  <c r="I120"/>
  <c r="I122"/>
  <c r="I126"/>
  <c r="I131"/>
  <c r="I135"/>
  <c r="H187"/>
  <c r="I187" s="1"/>
  <c r="I214"/>
  <c r="H240"/>
  <c r="I242"/>
  <c r="G66"/>
  <c r="H66" s="1"/>
  <c r="G65"/>
  <c r="H65" s="1"/>
  <c r="G64"/>
  <c r="H64" s="1"/>
  <c r="I62"/>
  <c r="H61"/>
  <c r="H58"/>
  <c r="G56"/>
  <c r="G55"/>
  <c r="H55" s="1"/>
  <c r="G54"/>
  <c r="H51"/>
  <c r="H50"/>
  <c r="I50" s="1"/>
  <c r="G47"/>
  <c r="G46"/>
  <c r="G45"/>
  <c r="G44"/>
  <c r="G43"/>
  <c r="G42"/>
  <c r="G41"/>
  <c r="H41" s="1"/>
  <c r="G32"/>
  <c r="H32" s="1"/>
  <c r="G31"/>
  <c r="G30"/>
  <c r="G28"/>
  <c r="G27"/>
  <c r="H27" s="1"/>
  <c r="G25"/>
  <c r="G24"/>
  <c r="G22"/>
  <c r="H22" s="1"/>
  <c r="H21"/>
  <c r="G19"/>
  <c r="H19" s="1"/>
  <c r="G18"/>
  <c r="G16"/>
  <c r="G15"/>
  <c r="G13"/>
  <c r="G11"/>
  <c r="H11" s="1"/>
  <c r="I21" l="1"/>
  <c r="H43"/>
  <c r="I43" s="1"/>
  <c r="I19"/>
  <c r="I22"/>
  <c r="I27"/>
  <c r="I32"/>
  <c r="I41"/>
  <c r="H44"/>
  <c r="I44" s="1"/>
  <c r="I51"/>
  <c r="I58"/>
  <c r="I64"/>
  <c r="I261"/>
  <c r="I240"/>
  <c r="I11"/>
  <c r="I55"/>
  <c r="I65"/>
  <c r="I66"/>
  <c r="I61"/>
  <c r="F9"/>
  <c r="F8" l="1"/>
  <c r="I52" l="1"/>
  <c r="H60"/>
  <c r="I60" s="1"/>
  <c r="H314"/>
  <c r="I314" s="1"/>
  <c r="H316"/>
  <c r="I316" s="1"/>
  <c r="H396"/>
  <c r="I396" s="1"/>
  <c r="H397"/>
  <c r="I397" s="1"/>
  <c r="H111" l="1"/>
  <c r="I111" s="1"/>
  <c r="H101" i="10"/>
  <c r="I101" s="1"/>
  <c r="H19"/>
  <c r="I19" s="1"/>
  <c r="H86"/>
  <c r="I86" s="1"/>
  <c r="H83"/>
  <c r="I83" s="1"/>
  <c r="H18"/>
  <c r="I18" s="1"/>
  <c r="H103"/>
  <c r="I103" s="1"/>
  <c r="H159"/>
  <c r="I159" s="1"/>
  <c r="H152"/>
  <c r="I152" s="1"/>
  <c r="H148"/>
  <c r="I148" s="1"/>
  <c r="H143"/>
  <c r="I143" s="1"/>
  <c r="H131"/>
  <c r="I131" s="1"/>
  <c r="H122"/>
  <c r="I122" s="1"/>
  <c r="H118"/>
  <c r="I118" s="1"/>
  <c r="H108"/>
  <c r="I108" s="1"/>
  <c r="H97"/>
  <c r="I97" s="1"/>
  <c r="H90"/>
  <c r="I90" s="1"/>
  <c r="H80"/>
  <c r="I80" s="1"/>
  <c r="H28"/>
  <c r="I28" s="1"/>
  <c r="H24"/>
  <c r="I24" s="1"/>
  <c r="H156"/>
  <c r="I156" s="1"/>
  <c r="H140"/>
  <c r="I140" s="1"/>
  <c r="H126"/>
  <c r="I126" s="1"/>
  <c r="H119"/>
  <c r="I119" s="1"/>
  <c r="H115"/>
  <c r="I115" s="1"/>
  <c r="H111"/>
  <c r="I111" s="1"/>
  <c r="H105"/>
  <c r="I105" s="1"/>
  <c r="H91"/>
  <c r="I91" s="1"/>
  <c r="H87"/>
  <c r="I87" s="1"/>
  <c r="H77"/>
  <c r="I77" s="1"/>
  <c r="H34"/>
  <c r="I34" s="1"/>
  <c r="H136"/>
  <c r="I136" s="1"/>
  <c r="H154"/>
  <c r="I154" s="1"/>
  <c r="H150"/>
  <c r="I150" s="1"/>
  <c r="H145"/>
  <c r="I145" s="1"/>
  <c r="H141"/>
  <c r="I141" s="1"/>
  <c r="H129"/>
  <c r="I129" s="1"/>
  <c r="H120"/>
  <c r="I120" s="1"/>
  <c r="H116"/>
  <c r="I116" s="1"/>
  <c r="H106"/>
  <c r="I106" s="1"/>
  <c r="H92"/>
  <c r="I92" s="1"/>
  <c r="H88"/>
  <c r="I88" s="1"/>
  <c r="H78"/>
  <c r="I78" s="1"/>
  <c r="I58"/>
  <c r="H26"/>
  <c r="I26" s="1"/>
  <c r="H158"/>
  <c r="I158" s="1"/>
  <c r="H151"/>
  <c r="I151" s="1"/>
  <c r="H128"/>
  <c r="I128" s="1"/>
  <c r="H124"/>
  <c r="I124" s="1"/>
  <c r="H117"/>
  <c r="I117" s="1"/>
  <c r="H113"/>
  <c r="I113" s="1"/>
  <c r="H107"/>
  <c r="I107" s="1"/>
  <c r="H96"/>
  <c r="I96" s="1"/>
  <c r="H89"/>
  <c r="I89" s="1"/>
  <c r="H79"/>
  <c r="I79" s="1"/>
  <c r="H133"/>
  <c r="I133" s="1"/>
  <c r="H175"/>
  <c r="I175" s="1"/>
  <c r="H166"/>
  <c r="I166" s="1"/>
  <c r="H178"/>
  <c r="I178" s="1"/>
  <c r="H176"/>
  <c r="I176" s="1"/>
  <c r="H171"/>
  <c r="I171" s="1"/>
  <c r="H181"/>
  <c r="I181" s="1"/>
  <c r="H177"/>
  <c r="I177" s="1"/>
  <c r="H292" i="8" l="1"/>
  <c r="I292" s="1"/>
  <c r="H77"/>
  <c r="I77" s="1"/>
  <c r="H78"/>
  <c r="I78" s="1"/>
  <c r="H288"/>
  <c r="I288" s="1"/>
  <c r="H289"/>
  <c r="I289" s="1"/>
  <c r="H290"/>
  <c r="I290" s="1"/>
  <c r="H16" i="10"/>
  <c r="I16" s="1"/>
  <c r="H152" i="8"/>
  <c r="I152" s="1"/>
  <c r="H238"/>
  <c r="I238" s="1"/>
  <c r="H54"/>
  <c r="I54" s="1"/>
  <c r="H46"/>
  <c r="I46" s="1"/>
  <c r="H42"/>
  <c r="I42" s="1"/>
  <c r="H30"/>
  <c r="I30" s="1"/>
  <c r="H25"/>
  <c r="I25" s="1"/>
  <c r="H90"/>
  <c r="I90" s="1"/>
  <c r="H246"/>
  <c r="I246" s="1"/>
  <c r="H18"/>
  <c r="I18" s="1"/>
  <c r="H56"/>
  <c r="I56" s="1"/>
  <c r="H15"/>
  <c r="I15" s="1"/>
  <c r="H67"/>
  <c r="I67" s="1"/>
  <c r="H183"/>
  <c r="I183" s="1"/>
  <c r="H248"/>
  <c r="I248" s="1"/>
  <c r="H47"/>
  <c r="I47" s="1"/>
  <c r="H45"/>
  <c r="I45" s="1"/>
  <c r="H31"/>
  <c r="I31" s="1"/>
  <c r="H28"/>
  <c r="I28" s="1"/>
  <c r="H24"/>
  <c r="I24" s="1"/>
  <c r="H86"/>
  <c r="I86" s="1"/>
  <c r="H178"/>
  <c r="I178" s="1"/>
  <c r="H16"/>
  <c r="I16" s="1"/>
  <c r="H13"/>
  <c r="I13" s="1"/>
  <c r="H138"/>
  <c r="I138" s="1"/>
  <c r="H128"/>
  <c r="I128" s="1"/>
  <c r="H276"/>
  <c r="I276" s="1"/>
  <c r="H215"/>
  <c r="I215" s="1"/>
  <c r="H212"/>
  <c r="I212" s="1"/>
  <c r="H210"/>
  <c r="I210" s="1"/>
  <c r="H129"/>
  <c r="I129" s="1"/>
  <c r="H234"/>
  <c r="I234" s="1"/>
  <c r="H228"/>
  <c r="I228" s="1"/>
  <c r="H179"/>
  <c r="I179" s="1"/>
  <c r="H172"/>
  <c r="I172" s="1"/>
  <c r="H167"/>
  <c r="I167" s="1"/>
  <c r="H163"/>
  <c r="I163" s="1"/>
  <c r="H159"/>
  <c r="I159" s="1"/>
  <c r="H154"/>
  <c r="I154" s="1"/>
  <c r="H104"/>
  <c r="I104" s="1"/>
  <c r="H100"/>
  <c r="I100" s="1"/>
  <c r="H96"/>
  <c r="I96" s="1"/>
  <c r="H92"/>
  <c r="I92" s="1"/>
  <c r="H80"/>
  <c r="I80" s="1"/>
  <c r="H235"/>
  <c r="I235" s="1"/>
  <c r="H231"/>
  <c r="I231" s="1"/>
  <c r="H180"/>
  <c r="I180" s="1"/>
  <c r="H173"/>
  <c r="I173" s="1"/>
  <c r="H168"/>
  <c r="I168" s="1"/>
  <c r="H164"/>
  <c r="I164" s="1"/>
  <c r="H160"/>
  <c r="I160" s="1"/>
  <c r="H155"/>
  <c r="I155" s="1"/>
  <c r="H108"/>
  <c r="I108" s="1"/>
  <c r="H103"/>
  <c r="I103" s="1"/>
  <c r="H99"/>
  <c r="I99" s="1"/>
  <c r="H95"/>
  <c r="I95" s="1"/>
  <c r="H91"/>
  <c r="I91" s="1"/>
  <c r="H81"/>
  <c r="I81" s="1"/>
  <c r="H130"/>
  <c r="I130" s="1"/>
  <c r="H124"/>
  <c r="I124" s="1"/>
  <c r="H243"/>
  <c r="I243" s="1"/>
  <c r="H213"/>
  <c r="I213" s="1"/>
  <c r="H211"/>
  <c r="I211" s="1"/>
  <c r="H209"/>
  <c r="I209" s="1"/>
  <c r="H132"/>
  <c r="I132" s="1"/>
  <c r="H123"/>
  <c r="I123" s="1"/>
  <c r="H232"/>
  <c r="I232" s="1"/>
  <c r="H181"/>
  <c r="I181" s="1"/>
  <c r="H175"/>
  <c r="I175" s="1"/>
  <c r="H170"/>
  <c r="I170" s="1"/>
  <c r="H165"/>
  <c r="I165" s="1"/>
  <c r="H161"/>
  <c r="I161" s="1"/>
  <c r="H157"/>
  <c r="I157" s="1"/>
  <c r="H107"/>
  <c r="I107" s="1"/>
  <c r="H102"/>
  <c r="I102" s="1"/>
  <c r="H98"/>
  <c r="I98" s="1"/>
  <c r="H94"/>
  <c r="I94" s="1"/>
  <c r="H82"/>
  <c r="I82" s="1"/>
  <c r="H233"/>
  <c r="I233" s="1"/>
  <c r="H227"/>
  <c r="I227" s="1"/>
  <c r="H176"/>
  <c r="I176" s="1"/>
  <c r="H171"/>
  <c r="I171" s="1"/>
  <c r="H166"/>
  <c r="I166" s="1"/>
  <c r="H162"/>
  <c r="I162" s="1"/>
  <c r="H158"/>
  <c r="I158" s="1"/>
  <c r="H153"/>
  <c r="I153" s="1"/>
  <c r="H105"/>
  <c r="I105" s="1"/>
  <c r="H101"/>
  <c r="I101" s="1"/>
  <c r="H97"/>
  <c r="I97" s="1"/>
  <c r="H93"/>
  <c r="I93" s="1"/>
  <c r="H84"/>
  <c r="I84" s="1"/>
  <c r="H192"/>
  <c r="I192" s="1"/>
  <c r="H194"/>
  <c r="I194" s="1"/>
  <c r="H196"/>
  <c r="I196" s="1"/>
  <c r="H198"/>
  <c r="I198" s="1"/>
  <c r="H200"/>
  <c r="I200" s="1"/>
  <c r="H202"/>
  <c r="I202" s="1"/>
  <c r="H204"/>
  <c r="I204" s="1"/>
  <c r="H206"/>
  <c r="I206" s="1"/>
  <c r="H310"/>
  <c r="I310" s="1"/>
  <c r="H266"/>
  <c r="I266" s="1"/>
  <c r="G190"/>
  <c r="H190" s="1"/>
  <c r="I190" s="1"/>
  <c r="G191"/>
  <c r="H191" s="1"/>
  <c r="I191" s="1"/>
  <c r="G250"/>
  <c r="H250" s="1"/>
  <c r="I250" s="1"/>
  <c r="H257"/>
  <c r="I257" s="1"/>
  <c r="H305"/>
  <c r="I305" s="1"/>
  <c r="H277"/>
  <c r="I277" s="1"/>
  <c r="H298"/>
  <c r="I298" s="1"/>
  <c r="H301"/>
  <c r="I301" s="1"/>
  <c r="H307"/>
  <c r="I307" s="1"/>
  <c r="H303"/>
  <c r="I303" s="1"/>
  <c r="H300"/>
  <c r="I300" s="1"/>
  <c r="H308"/>
  <c r="I308" s="1"/>
  <c r="H374"/>
  <c r="I374" s="1"/>
  <c r="H347"/>
  <c r="I347" s="1"/>
  <c r="H371"/>
  <c r="I371" s="1"/>
  <c r="H358"/>
  <c r="I358" s="1"/>
  <c r="H328"/>
  <c r="I328" s="1"/>
  <c r="H356"/>
  <c r="I356" s="1"/>
  <c r="H335"/>
  <c r="I335" s="1"/>
  <c r="H380"/>
  <c r="I380" s="1"/>
  <c r="H349"/>
  <c r="I349" s="1"/>
  <c r="H345"/>
  <c r="I345" s="1"/>
  <c r="H369"/>
  <c r="I369" s="1"/>
  <c r="H337"/>
  <c r="I337" s="1"/>
  <c r="H367"/>
  <c r="I367" s="1"/>
  <c r="H354"/>
  <c r="I354" s="1"/>
  <c r="H336"/>
  <c r="I336" s="1"/>
  <c r="G323"/>
  <c r="H323" s="1"/>
  <c r="I323" s="1"/>
  <c r="G326"/>
  <c r="H326"/>
  <c r="I326" s="1"/>
  <c r="G327"/>
  <c r="H327" s="1"/>
  <c r="I327" s="1"/>
  <c r="H394"/>
  <c r="I394" s="1"/>
  <c r="H393"/>
  <c r="I393" s="1"/>
  <c r="H389"/>
  <c r="I389" s="1"/>
  <c r="H378"/>
  <c r="I378" s="1"/>
  <c r="G322"/>
  <c r="H322" s="1"/>
  <c r="I322" s="1"/>
  <c r="H390"/>
  <c r="I390" s="1"/>
  <c r="H391"/>
  <c r="I391" s="1"/>
  <c r="H386"/>
  <c r="I386" s="1"/>
  <c r="G377"/>
  <c r="H377" s="1"/>
  <c r="I377" s="1"/>
</calcChain>
</file>

<file path=xl/comments1.xml><?xml version="1.0" encoding="utf-8"?>
<comments xmlns="http://schemas.openxmlformats.org/spreadsheetml/2006/main">
  <authors>
    <author>Author</author>
  </authors>
  <commentList>
    <comment ref="C1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NEW ITEM ADDED</t>
        </r>
      </text>
    </comment>
    <comment ref="C1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NEW ITEM ADDED</t>
        </r>
      </text>
    </comment>
    <comment ref="I3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Mentioned by S&amp;P -Procured in the year 2017-18.</t>
        </r>
      </text>
    </comment>
    <comment ref="I3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Mentioned by S&amp;P -Procured in the year 2017-18.</t>
        </r>
      </text>
    </comment>
    <comment ref="C7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Earlier name was - SINGLE CORE CABLE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F2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Figure reported by ED(S&amp;P) is Rs 32561.65</t>
        </r>
      </text>
    </comment>
    <comment ref="G2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(PROCURED IN THE YEAR 2016-17) by S&amp;P</t>
        </r>
      </text>
    </comment>
    <comment ref="C3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NEW ITEM INTRODUCED</t>
        </r>
      </text>
    </comment>
    <comment ref="E5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Bin Code changed. Earlier Bin Code was- 7130820011</t>
        </r>
      </text>
    </comment>
    <comment ref="C5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Earlier name - Post Insulator</t>
        </r>
      </text>
    </comment>
    <comment ref="E11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Earlier Bin Code was- 7130310660</t>
        </r>
      </text>
    </comment>
    <comment ref="C11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NEW ITEM INTRODUCED</t>
        </r>
      </text>
    </comment>
    <comment ref="E18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NEW BIN CODE ALLOTED</t>
        </r>
      </text>
    </comment>
    <comment ref="E18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NEW BIN CODE ALLOTED</t>
        </r>
      </text>
    </comment>
    <comment ref="E26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NEW BIN CODE ALLOTED</t>
        </r>
      </text>
    </comment>
    <comment ref="E28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New Bin Code alloted</t>
        </r>
      </text>
    </comment>
    <comment ref="E28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New Bin Code alloted</t>
        </r>
      </text>
    </comment>
    <comment ref="E29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New Bin Code alloted</t>
        </r>
      </text>
    </comment>
    <comment ref="E29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New Bin Code alloted</t>
        </r>
      </text>
    </comment>
    <comment ref="E29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New Bin Code alloted</t>
        </r>
      </text>
    </comment>
    <comment ref="C31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Earlier named as- Locally fabricated - 3 Phase fuse units (Robust fuse for circuit base).</t>
        </r>
      </text>
    </comment>
    <comment ref="E31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Earlier Bin Code - 7131900005</t>
        </r>
      </text>
    </comment>
    <comment ref="E32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NEW BIN CODE ALLOTED</t>
        </r>
      </text>
    </comment>
    <comment ref="E34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NEW BIN CODE ALLOTED</t>
        </r>
      </text>
    </comment>
    <comment ref="E34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NEW BIN CODE ALLOTED</t>
        </r>
      </text>
    </comment>
    <comment ref="E34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NEW BIN CODE ALLOTED</t>
        </r>
      </text>
    </comment>
    <comment ref="E34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NEW BIN CODE ALLOTED</t>
        </r>
      </text>
    </comment>
    <comment ref="E34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NEW BIN CODE ALLOTED</t>
        </r>
      </text>
    </comment>
    <comment ref="E34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NEW BIN CODE ALLOTED</t>
        </r>
      </text>
    </comment>
    <comment ref="E35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NEW BIN CODE ALLOTED</t>
        </r>
      </text>
    </comment>
    <comment ref="E38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NEW BIN CODE ALLOTED</t>
        </r>
      </text>
    </comment>
    <comment ref="E38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NEW BIN CODE ALLOTED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E1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NEW BIN CODE ALLOTED</t>
        </r>
      </text>
    </comment>
    <comment ref="E5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NEW BIN CODE ALLOTED</t>
        </r>
      </text>
    </comment>
    <comment ref="C5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Earlier name was - LED 9 Watt lamp with holder</t>
        </r>
      </text>
    </comment>
    <comment ref="E5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NEW BIN CODE ALLOTED</t>
        </r>
      </text>
    </comment>
    <comment ref="E5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NEW BIN CODE ALLOTED</t>
        </r>
      </text>
    </comment>
    <comment ref="E6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NEW BIN CODE ALLOTED</t>
        </r>
      </text>
    </comment>
    <comment ref="E6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NEW BIN CODE ALLOTED</t>
        </r>
      </text>
    </comment>
    <comment ref="E6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NEW BIN CODE ALLOTED</t>
        </r>
      </text>
    </comment>
    <comment ref="E6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NEW BIN CODE ALLOTED</t>
        </r>
      </text>
    </comment>
    <comment ref="E6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NEW BIN CODE ALLOTED</t>
        </r>
      </text>
    </comment>
    <comment ref="E6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NEW BIN CODE ALLOTED</t>
        </r>
      </text>
    </comment>
    <comment ref="E6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NEW BIN CODE ALLOTED</t>
        </r>
      </text>
    </comment>
    <comment ref="C10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Earlier named as--Grounding Sticks (Earthing Rods)</t>
        </r>
      </text>
    </comment>
    <comment ref="C12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Earlier named as --Combination Plier</t>
        </r>
      </text>
    </comment>
    <comment ref="C13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Earlier named as - Transil oil Dielectric Breakdown testkit</t>
        </r>
      </text>
    </comment>
    <comment ref="C13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Earlier named as -  Tong tester</t>
        </r>
      </text>
    </comment>
    <comment ref="C13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Earlier named as  - Earth resistance tester (20/200/2000 Ω)</t>
        </r>
      </text>
    </comment>
    <comment ref="C14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Earlier named as--G.I. Pipe 200 mm for 400 mm cable of dia 105 mm</t>
        </r>
      </text>
    </comment>
    <comment ref="E15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NEW BIN CODE ALLOTED</t>
        </r>
      </text>
    </comment>
    <comment ref="E15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NEW BIN CODE ALLOTED</t>
        </r>
      </text>
    </comment>
    <comment ref="C15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Earlier name was- RCC Pipe Type NP-3 (2.5 mtr long)</t>
        </r>
      </text>
    </comment>
    <comment ref="E15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Earlier Bin Code- 7130640030</t>
        </r>
      </text>
    </comment>
    <comment ref="E15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Earlier Bin Code- 7130640037</t>
        </r>
      </text>
    </comment>
    <comment ref="E15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NEW BIN CODE ALLOTED</t>
        </r>
      </text>
    </comment>
    <comment ref="D16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Earlier Per 1000</t>
        </r>
      </text>
    </comment>
    <comment ref="D17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Earlier Sq.Mtr</t>
        </r>
      </text>
    </comment>
    <comment ref="E17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NEW BIN CODE ALLOTED</t>
        </r>
      </text>
    </comment>
    <comment ref="E18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NEW BIN CODE ALLOTED</t>
        </r>
      </text>
    </comment>
    <comment ref="E18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NEW BIN CODE ALLOTED</t>
        </r>
      </text>
    </comment>
    <comment ref="E18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NEW BIN CODE ALLOTED</t>
        </r>
      </text>
    </comment>
    <comment ref="E18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NEW BIN CODE ALLOTED</t>
        </r>
      </text>
    </comment>
    <comment ref="E18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NEW BIN CODE ALLOTED</t>
        </r>
      </text>
    </comment>
    <comment ref="E18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NEW BIN CODE ALLOTED</t>
        </r>
      </text>
    </comment>
  </commentList>
</comments>
</file>

<file path=xl/sharedStrings.xml><?xml version="1.0" encoding="utf-8"?>
<sst xmlns="http://schemas.openxmlformats.org/spreadsheetml/2006/main" count="2145" uniqueCount="777">
  <si>
    <t>New Bin Code</t>
  </si>
  <si>
    <t>Unit</t>
  </si>
  <si>
    <t>No.</t>
  </si>
  <si>
    <t>Cmt</t>
  </si>
  <si>
    <t>RM</t>
  </si>
  <si>
    <t>Each</t>
  </si>
  <si>
    <t>PARTICULARS OF MATERIALS / ITEMS</t>
  </si>
  <si>
    <r>
      <t>EHV Gr-1 TRANSFORMER OIL</t>
    </r>
    <r>
      <rPr>
        <b/>
        <sz val="10"/>
        <rFont val="Verdana"/>
        <family val="2"/>
      </rPr>
      <t xml:space="preserve"> :-</t>
    </r>
  </si>
  <si>
    <t>i</t>
  </si>
  <si>
    <t xml:space="preserve">In Barrel </t>
  </si>
  <si>
    <t>KL</t>
  </si>
  <si>
    <t>ii</t>
  </si>
  <si>
    <t xml:space="preserve">In Tanker </t>
  </si>
  <si>
    <r>
      <t>LINE SUPPORTS</t>
    </r>
    <r>
      <rPr>
        <b/>
        <sz val="10"/>
        <rFont val="Verdana"/>
        <family val="2"/>
      </rPr>
      <t xml:space="preserve">  :-</t>
    </r>
  </si>
  <si>
    <t>200 Kg; 8.0 Mtr long</t>
  </si>
  <si>
    <t>iv</t>
  </si>
  <si>
    <t>280 Kg; 9.1 Mtr long</t>
  </si>
  <si>
    <r>
      <t xml:space="preserve">LINE INSULATORS </t>
    </r>
    <r>
      <rPr>
        <b/>
        <sz val="10"/>
        <rFont val="Verdana"/>
        <family val="2"/>
      </rPr>
      <t>:-</t>
    </r>
  </si>
  <si>
    <t>B</t>
  </si>
  <si>
    <r>
      <t>POLYMER INSULATOR</t>
    </r>
    <r>
      <rPr>
        <b/>
        <sz val="10"/>
        <rFont val="Verdana"/>
        <family val="2"/>
      </rPr>
      <t xml:space="preserve"> :-</t>
    </r>
  </si>
  <si>
    <t>33 kV Composite Disc insulator</t>
  </si>
  <si>
    <t>33 kV Polymer Disc Insulator (45 kN)</t>
  </si>
  <si>
    <t>11 kV Disc Insulator</t>
  </si>
  <si>
    <t>C</t>
  </si>
  <si>
    <t>Silicon rubber composite insulator / 11 kV  45 kN Polymeric Insulator</t>
  </si>
  <si>
    <t>Nos.</t>
  </si>
  <si>
    <r>
      <t>COPPER CONTROL CABLES</t>
    </r>
    <r>
      <rPr>
        <b/>
        <sz val="10"/>
        <rFont val="Verdana"/>
        <family val="2"/>
      </rPr>
      <t xml:space="preserve"> : -</t>
    </r>
  </si>
  <si>
    <t>A</t>
  </si>
  <si>
    <r>
      <t>2.5 Sq.mm. UNARMOURED CABLE</t>
    </r>
    <r>
      <rPr>
        <b/>
        <sz val="10"/>
        <rFont val="Verdana"/>
        <family val="2"/>
      </rPr>
      <t xml:space="preserve"> :-</t>
    </r>
  </si>
  <si>
    <t>Km.</t>
  </si>
  <si>
    <t>10 Core</t>
  </si>
  <si>
    <r>
      <t>2.5 Sq.mm. ARMOURED CABLE</t>
    </r>
    <r>
      <rPr>
        <b/>
        <sz val="10"/>
        <rFont val="Verdana"/>
        <family val="2"/>
      </rPr>
      <t xml:space="preserve"> :-</t>
    </r>
  </si>
  <si>
    <t>iii</t>
  </si>
  <si>
    <t xml:space="preserve">10 Core </t>
  </si>
  <si>
    <r>
      <t>T-CLAMPS FOR ACSR CONDUCTOR</t>
    </r>
    <r>
      <rPr>
        <b/>
        <sz val="10"/>
        <rFont val="Verdana"/>
        <family val="2"/>
      </rPr>
      <t xml:space="preserve"> :-</t>
    </r>
  </si>
  <si>
    <t>Raccoon Conductor.</t>
  </si>
  <si>
    <t>Panther Conductor.</t>
  </si>
  <si>
    <r>
      <t>H.R.C. FUSE UNITS</t>
    </r>
    <r>
      <rPr>
        <b/>
        <sz val="10"/>
        <rFont val="Verdana"/>
        <family val="2"/>
      </rPr>
      <t xml:space="preserve"> : -</t>
    </r>
  </si>
  <si>
    <t>100 Amps.</t>
  </si>
  <si>
    <r>
      <t>H.R.C. FUSE</t>
    </r>
    <r>
      <rPr>
        <b/>
        <sz val="10"/>
        <rFont val="Verdana"/>
        <family val="2"/>
      </rPr>
      <t xml:space="preserve"> : -</t>
    </r>
  </si>
  <si>
    <t>Meter Box (GI Plain Sheet) for 3 Phase LT CT operated meter</t>
  </si>
  <si>
    <t>Pilfer proof SMC/FRPP/PPO LTCT meter box</t>
  </si>
  <si>
    <t>Poly Carbonate seals for meter</t>
  </si>
  <si>
    <t>Numerical Poly Carbonate seals</t>
  </si>
  <si>
    <r>
      <t>TOOLS AND PLANT</t>
    </r>
    <r>
      <rPr>
        <b/>
        <sz val="10"/>
        <rFont val="Verdana"/>
        <family val="2"/>
      </rPr>
      <t xml:space="preserve"> :-</t>
    </r>
  </si>
  <si>
    <t>Hand Torch 3 cell</t>
  </si>
  <si>
    <r>
      <t>MISCELLANEOUS MATERIALS</t>
    </r>
    <r>
      <rPr>
        <b/>
        <sz val="10"/>
        <rFont val="Verdana"/>
        <family val="2"/>
      </rPr>
      <t xml:space="preserve"> :-</t>
    </r>
  </si>
  <si>
    <t>Cotton Waste</t>
  </si>
  <si>
    <t>Kg</t>
  </si>
  <si>
    <t>Files of sizes</t>
  </si>
  <si>
    <t>Set.</t>
  </si>
  <si>
    <t>Black Cambric tape 25 mm wide 7 mm thick and in rolls of 50 Mtr.</t>
  </si>
  <si>
    <t>Roll</t>
  </si>
  <si>
    <t>Cable marker for U/G cable</t>
  </si>
  <si>
    <t>Pad Connector (for Panther conductor)</t>
  </si>
  <si>
    <r>
      <t>PVC INSULATED 1100 Volts GRADE ALUMINIUM</t>
    </r>
    <r>
      <rPr>
        <b/>
        <sz val="10"/>
        <rFont val="Verdana"/>
        <family val="2"/>
      </rPr>
      <t xml:space="preserve"> : -</t>
    </r>
  </si>
  <si>
    <t>vii</t>
  </si>
  <si>
    <t>Set</t>
  </si>
  <si>
    <t>Pair</t>
  </si>
  <si>
    <t>G.I.Strip 25x3 mm</t>
  </si>
  <si>
    <t>No</t>
  </si>
  <si>
    <t>Surge Arrestor</t>
  </si>
  <si>
    <t>Ground connection for Messenger Wire</t>
  </si>
  <si>
    <t>km</t>
  </si>
  <si>
    <t xml:space="preserve">11 kV 3 PH Residual Voltage Transformer </t>
  </si>
  <si>
    <t>12 kV, Outdoor type Vacuum Capacitor switches</t>
  </si>
  <si>
    <t>11 kV, 400 Amp, Off Load Isolator with earth switch and mounting GI structure</t>
  </si>
  <si>
    <t>Indoor Type Automatic Control Unit along with APFC Relay</t>
  </si>
  <si>
    <t>Kgs.</t>
  </si>
  <si>
    <t>GI Structure for complete Equipment</t>
  </si>
  <si>
    <t>Caping of RCC Pipe on both end of pipe with Concreting and Bricks work</t>
  </si>
  <si>
    <t>Cable separator in RCC Pipe with Angle Cross of 50x50x6 mm Angle @ 2 No. in one pipe</t>
  </si>
  <si>
    <t xml:space="preserve">Stainless steel strap with buckle (for installation of Service Distribution Box) </t>
  </si>
  <si>
    <t xml:space="preserve">Cable Cutter </t>
  </si>
  <si>
    <t>Load break switches with panel</t>
  </si>
  <si>
    <t>3 Way Load break switch</t>
  </si>
  <si>
    <t>Meter Sealing Wire</t>
  </si>
  <si>
    <t>Hand Operated type 25 sq.mm. to 400 sq.mm.</t>
  </si>
  <si>
    <t>Hydraulic type with suitable Dies for crimping Lugs of size up to 400 sq.mm.</t>
  </si>
  <si>
    <t>11 kV Fault Passage Indicator for Overhead Line</t>
  </si>
  <si>
    <t>AC Distribution Board for AC/DC Supply</t>
  </si>
  <si>
    <t>33/11 kV S/S (Name Plate) Board</t>
  </si>
  <si>
    <t>Chem Rod Earthing electrode (Chemical Earthing) [As per specification given in Schedule-C-20]</t>
  </si>
  <si>
    <t xml:space="preserve">RCC Block (with 6 mm MS Bar) </t>
  </si>
  <si>
    <t>Km</t>
  </si>
  <si>
    <t>33 kV Polymer Post Insulator</t>
  </si>
  <si>
    <t xml:space="preserve">Disc insulator </t>
  </si>
  <si>
    <t xml:space="preserve">33 kV Pin insulator </t>
  </si>
  <si>
    <t>v</t>
  </si>
  <si>
    <t>33 kV Post Insulator</t>
  </si>
  <si>
    <r>
      <t>PORCELAIN INSULATOR</t>
    </r>
    <r>
      <rPr>
        <b/>
        <sz val="10"/>
        <rFont val="Verdana"/>
        <family val="2"/>
      </rPr>
      <t xml:space="preserve"> :-</t>
    </r>
  </si>
  <si>
    <t>Sl. No.</t>
  </si>
  <si>
    <t>Amt. in Rs.</t>
  </si>
  <si>
    <t>Sl.No.</t>
  </si>
  <si>
    <t>Ex-works Rate</t>
  </si>
  <si>
    <t>Amount of GST</t>
  </si>
  <si>
    <r>
      <t>ENERGY EFFICIENCY LEVEL-2, I.S.I.MARKED 11/0.4 kV DISTRIBUTION TRANSFORMER</t>
    </r>
    <r>
      <rPr>
        <b/>
        <sz val="10"/>
        <rFont val="Verdana"/>
        <family val="2"/>
      </rPr>
      <t xml:space="preserve"> :-</t>
    </r>
  </si>
  <si>
    <t xml:space="preserve">16 kVA Aluminium Wound </t>
  </si>
  <si>
    <t xml:space="preserve">25 kVA Aluminium Wound </t>
  </si>
  <si>
    <t xml:space="preserve">63 kVA Aluminium Wound </t>
  </si>
  <si>
    <t xml:space="preserve">100 kVA Aluminium Wound </t>
  </si>
  <si>
    <t xml:space="preserve">200 kVA Aluminium Wound </t>
  </si>
  <si>
    <r>
      <t>CONVENTIONAL DISTRIBUTION TRANSFORMER 11/0.4 KV 4-STAR</t>
    </r>
    <r>
      <rPr>
        <b/>
        <sz val="10"/>
        <rFont val="Verdana"/>
        <family val="2"/>
      </rPr>
      <t xml:space="preserve"> :-</t>
    </r>
  </si>
  <si>
    <t xml:space="preserve">16 kVA (4 Star) Aluminium Wound </t>
  </si>
  <si>
    <t xml:space="preserve">25 kVA (4 Star) Aluminium Wound </t>
  </si>
  <si>
    <t xml:space="preserve">63 kVA (4 Star) Aluminium Wound </t>
  </si>
  <si>
    <t xml:space="preserve">100 kVA (4 Star) Aluminium Wound </t>
  </si>
  <si>
    <t xml:space="preserve">200 kVA (4 Star) Aluminium Wound </t>
  </si>
  <si>
    <t>vi</t>
  </si>
  <si>
    <t xml:space="preserve">315 kVA (CEA Design) (4 Star) Copper Wound </t>
  </si>
  <si>
    <t xml:space="preserve">500 kVA (CEA Design) (4 Star) Copper Wound </t>
  </si>
  <si>
    <r>
      <t>33/0.4 kV STATION TRANSFORMER</t>
    </r>
    <r>
      <rPr>
        <b/>
        <sz val="10"/>
        <rFont val="Verdana"/>
        <family val="2"/>
      </rPr>
      <t xml:space="preserve"> :-</t>
    </r>
  </si>
  <si>
    <t>50 kVA (Copper winding)</t>
  </si>
  <si>
    <r>
      <t>POWER TRANSFORMERS 33/11 kV</t>
    </r>
    <r>
      <rPr>
        <b/>
        <sz val="10"/>
        <rFont val="Verdana"/>
        <family val="2"/>
      </rPr>
      <t xml:space="preserve"> :-</t>
    </r>
  </si>
  <si>
    <t>1600 kVA</t>
  </si>
  <si>
    <t xml:space="preserve">3150 kVA </t>
  </si>
  <si>
    <t xml:space="preserve">5000 kVA </t>
  </si>
  <si>
    <r>
      <t>LIGHTNING ARRESTORS</t>
    </r>
    <r>
      <rPr>
        <b/>
        <sz val="10"/>
        <rFont val="Verdana"/>
        <family val="2"/>
      </rPr>
      <t xml:space="preserve"> :-</t>
    </r>
  </si>
  <si>
    <t xml:space="preserve">11 kV Polymer </t>
  </si>
  <si>
    <t>33 kV Polymer</t>
  </si>
  <si>
    <r>
      <t>D.O. FUSE UNITS</t>
    </r>
    <r>
      <rPr>
        <b/>
        <sz val="10"/>
        <rFont val="Verdana"/>
        <family val="2"/>
      </rPr>
      <t xml:space="preserve"> :-</t>
    </r>
  </si>
  <si>
    <r>
      <t>PORCELAIN TYPE</t>
    </r>
    <r>
      <rPr>
        <b/>
        <sz val="10"/>
        <rFont val="Verdana"/>
        <family val="2"/>
      </rPr>
      <t xml:space="preserve"> -</t>
    </r>
  </si>
  <si>
    <t>11 kV</t>
  </si>
  <si>
    <t>33 kV</t>
  </si>
  <si>
    <r>
      <t>RAIL POLE</t>
    </r>
    <r>
      <rPr>
        <b/>
        <sz val="10"/>
        <rFont val="Verdana"/>
        <family val="2"/>
      </rPr>
      <t xml:space="preserve"> :-</t>
    </r>
  </si>
  <si>
    <t>a</t>
  </si>
  <si>
    <t>52 kgs per mtr/105 lbs yard</t>
  </si>
  <si>
    <t>MT</t>
  </si>
  <si>
    <t>b</t>
  </si>
  <si>
    <t>60 kgs per mtr</t>
  </si>
  <si>
    <t>"H" BEAMS 152x152 mm;</t>
  </si>
  <si>
    <t xml:space="preserve"> 37.1 Kg/Mtr.; 13 Mtr. Length</t>
  </si>
  <si>
    <t xml:space="preserve"> 37.1 Kg/Mtr.; 11 Mtr. Length</t>
  </si>
  <si>
    <t>R.S. JOIST.</t>
  </si>
  <si>
    <t>175 x 85 mm</t>
  </si>
  <si>
    <t>125 x 70 mm</t>
  </si>
  <si>
    <t>140 Kg; 8.0 Mtr long</t>
  </si>
  <si>
    <t>200 Kg; 9.0 Mtr long</t>
  </si>
  <si>
    <t>350 Kg; 7.0 Mtr long</t>
  </si>
  <si>
    <t>365 Kg; 11 Mtr long</t>
  </si>
  <si>
    <t>M.S. CHANNEL</t>
  </si>
  <si>
    <t>100x50 mm</t>
  </si>
  <si>
    <t>75x40 mm</t>
  </si>
  <si>
    <t>M.S. FLAT</t>
  </si>
  <si>
    <t>65x8 mm</t>
  </si>
  <si>
    <t>50x6 mm</t>
  </si>
  <si>
    <t>M.S. ANGLE</t>
  </si>
  <si>
    <t>65 x 65 x 6 mm</t>
  </si>
  <si>
    <t>50 x 50 x 6 mm</t>
  </si>
  <si>
    <t>c</t>
  </si>
  <si>
    <t>75 x 75 x 6 mm</t>
  </si>
  <si>
    <r>
      <t>CONCRETE</t>
    </r>
    <r>
      <rPr>
        <b/>
        <sz val="10"/>
        <rFont val="Verdana"/>
        <family val="2"/>
      </rPr>
      <t xml:space="preserve"> : -</t>
    </r>
  </si>
  <si>
    <t>1:1.5:3 Ratio</t>
  </si>
  <si>
    <t>1:3:6 Ratio</t>
  </si>
  <si>
    <r>
      <t>A.C.S.R. CONDUCTORS</t>
    </r>
    <r>
      <rPr>
        <b/>
        <sz val="10"/>
        <rFont val="Verdana"/>
        <family val="2"/>
      </rPr>
      <t xml:space="preserve"> :-</t>
    </r>
  </si>
  <si>
    <t>0.02 Sq.inch (20 Sqmm Al. Eq.) (Squirrel)</t>
  </si>
  <si>
    <t>0.03 Sq.inch (30 Sqmm Al. Eq.) (Weasel)</t>
  </si>
  <si>
    <t>0.05 Sq.inch (50 Sqmm Al. Eq.) (Rabbit)</t>
  </si>
  <si>
    <t>0.075 Sq.inch (80 Sqmm Al. Eq.) (Raccoon)</t>
  </si>
  <si>
    <t>0.10 Sq.inch (100 Sqmm Al. Eq.) (Dog)</t>
  </si>
  <si>
    <t>0.2 Sq inch ( 130 Sqmm Al.Eq.)(Panther)</t>
  </si>
  <si>
    <r>
      <t>A.A.A.C. CONDUCTORS</t>
    </r>
    <r>
      <rPr>
        <b/>
        <sz val="10"/>
        <rFont val="Verdana"/>
        <family val="2"/>
      </rPr>
      <t xml:space="preserve"> :-</t>
    </r>
  </si>
  <si>
    <t>0.02 Sq.inch (20/22 Sqmm Al. Eq.) (Squirrel)</t>
  </si>
  <si>
    <t>0.03 Sq.inch (30/34 Sqmm Al. Eq.) (Weasel)</t>
  </si>
  <si>
    <t>0.05 Sq.inch (50/55 Sqmm Al. Eq.) (Rabbit)</t>
  </si>
  <si>
    <t>COVERED CONDUCTOR (FOR LAST SPAN OF HT CONSUMERS)</t>
  </si>
  <si>
    <t>50 sq.mm. XLPE insulation for 11 kV</t>
  </si>
  <si>
    <t>Mtr.</t>
  </si>
  <si>
    <t>70 sq.mm. XLPE insulation for 11 kV</t>
  </si>
  <si>
    <t>99 sq.mm. XLPE insulation for 11 kV</t>
  </si>
  <si>
    <t>70 sq.mm. XLPE insulation for 33 kV</t>
  </si>
  <si>
    <t>99 sq.mm. XLPE insulation for 33 kV</t>
  </si>
  <si>
    <t>157 sq.mm. XLPE insulation for 33 kV</t>
  </si>
  <si>
    <t>241 sq.mm. XLPE insulation for 33 kV</t>
  </si>
  <si>
    <t>11 kV Pin insulator</t>
  </si>
  <si>
    <t>11 kV Post Insulator</t>
  </si>
  <si>
    <r>
      <t>SHACKLE INSULATORS</t>
    </r>
    <r>
      <rPr>
        <b/>
        <sz val="10"/>
        <rFont val="Verdana"/>
        <family val="2"/>
      </rPr>
      <t xml:space="preserve"> : -</t>
    </r>
  </si>
  <si>
    <t>90 x 75 mm.</t>
  </si>
  <si>
    <t>65 x 50 mm.</t>
  </si>
  <si>
    <t>Stay insulator</t>
  </si>
  <si>
    <t>viii</t>
  </si>
  <si>
    <t>Split insulator</t>
  </si>
  <si>
    <t>33 kV Pin insulator with Pin</t>
  </si>
  <si>
    <t>11 kV Pin insulator with Pin</t>
  </si>
  <si>
    <t>11 kV Polymer Post Insulator</t>
  </si>
  <si>
    <t>D</t>
  </si>
  <si>
    <r>
      <t>LINE HARDWARES</t>
    </r>
    <r>
      <rPr>
        <b/>
        <sz val="10"/>
        <rFont val="Verdana"/>
        <family val="2"/>
      </rPr>
      <t xml:space="preserve"> :-</t>
    </r>
  </si>
  <si>
    <t>Strain H/W up to Rabbit.</t>
  </si>
  <si>
    <t>Strain H/W for Raccoon &amp; Dog.</t>
  </si>
  <si>
    <t>Suspension H/W suitable for Panther Conductor.</t>
  </si>
  <si>
    <t>Tension hardware suitable for Panther Conductor.</t>
  </si>
  <si>
    <r>
      <t>HARDWARES FOR SHACKLE INSULATORS</t>
    </r>
    <r>
      <rPr>
        <b/>
        <sz val="10"/>
        <rFont val="Verdana"/>
        <family val="2"/>
      </rPr>
      <t xml:space="preserve"> : -</t>
    </r>
  </si>
  <si>
    <t>For 90 x 75 mm insulators</t>
  </si>
  <si>
    <t>For 65 x 50 mm insulators</t>
  </si>
  <si>
    <t>GI Pin for 11 kV Pin insulator.</t>
  </si>
  <si>
    <t>GI Pin for 33 kV Pin insulator.</t>
  </si>
  <si>
    <r>
      <t>A.B.  SWITCH  WITH COMPLETE  FITTING</t>
    </r>
    <r>
      <rPr>
        <b/>
        <sz val="10"/>
        <rFont val="Verdana"/>
        <family val="2"/>
      </rPr>
      <t xml:space="preserve"> :-</t>
    </r>
  </si>
  <si>
    <r>
      <t>STAY SET WITHOUT STAY WIRE</t>
    </r>
    <r>
      <rPr>
        <b/>
        <sz val="10"/>
        <rFont val="Verdana"/>
        <family val="2"/>
      </rPr>
      <t xml:space="preserve"> : -</t>
    </r>
  </si>
  <si>
    <t>16 mm (Painted) LT &amp; 11 KV</t>
  </si>
  <si>
    <t>20 mm (Painted)</t>
  </si>
  <si>
    <r>
      <t>STAY WIRES</t>
    </r>
    <r>
      <rPr>
        <b/>
        <sz val="10"/>
        <rFont val="Verdana"/>
        <family val="2"/>
      </rPr>
      <t xml:space="preserve"> : -</t>
    </r>
  </si>
  <si>
    <t>7/4.00 mm (7/8 SWG)</t>
  </si>
  <si>
    <t>7/3.15 mm (7/10 SWG)</t>
  </si>
  <si>
    <t>Earthing coil (Coil of 115 turns of 50 mm dia. &amp; 2.5 Mtrs lead of 4.0 mm GI wire)</t>
  </si>
  <si>
    <t>G.I. WIRES : -</t>
  </si>
  <si>
    <t>5.0 mm (6 SWG)</t>
  </si>
  <si>
    <t>4.0 mm (8 SWG)</t>
  </si>
  <si>
    <t>3.15 mm (10 SWG)</t>
  </si>
  <si>
    <t>Barbed wire</t>
  </si>
  <si>
    <r>
      <t>M.S. NUTS &amp; BOLTS</t>
    </r>
    <r>
      <rPr>
        <b/>
        <sz val="10"/>
        <rFont val="Verdana"/>
        <family val="2"/>
      </rPr>
      <t xml:space="preserve"> :-</t>
    </r>
  </si>
  <si>
    <t>12x65 mm</t>
  </si>
  <si>
    <t>12x100 mm</t>
  </si>
  <si>
    <t>12x120 mm</t>
  </si>
  <si>
    <t>12x140 mm</t>
  </si>
  <si>
    <t>16x40 mm</t>
  </si>
  <si>
    <t>16x65 mm</t>
  </si>
  <si>
    <t>16x90 mm</t>
  </si>
  <si>
    <t>16x100 mm</t>
  </si>
  <si>
    <t>ix</t>
  </si>
  <si>
    <t>16x140 mm</t>
  </si>
  <si>
    <t>x</t>
  </si>
  <si>
    <t>16x160 mm</t>
  </si>
  <si>
    <t>xi</t>
  </si>
  <si>
    <t>16x200 mm</t>
  </si>
  <si>
    <t>xii</t>
  </si>
  <si>
    <t>16x250 mm</t>
  </si>
  <si>
    <t>xiii</t>
  </si>
  <si>
    <t>16x300 mm</t>
  </si>
  <si>
    <t>xiv</t>
  </si>
  <si>
    <t>20x75 mm</t>
  </si>
  <si>
    <t>xv</t>
  </si>
  <si>
    <t>20x90 mm</t>
  </si>
  <si>
    <t>xvi</t>
  </si>
  <si>
    <t>20x110 mm</t>
  </si>
  <si>
    <t>xvii</t>
  </si>
  <si>
    <t>24x120 mm</t>
  </si>
  <si>
    <r>
      <t>G.I.  NUTS &amp; BOLTS</t>
    </r>
    <r>
      <rPr>
        <b/>
        <sz val="10"/>
        <rFont val="Verdana"/>
        <family val="2"/>
      </rPr>
      <t xml:space="preserve"> :-</t>
    </r>
  </si>
  <si>
    <t>G.I. Spring Washer</t>
  </si>
  <si>
    <t>G.l. Pipe 40 mm</t>
  </si>
  <si>
    <t>Per Mtr</t>
  </si>
  <si>
    <t>Danger board 33 kV &amp; 11 kV</t>
  </si>
  <si>
    <t>Earthing set (Pipe earth as per DRG No.-G/008)</t>
  </si>
  <si>
    <r>
      <t>TPN SWITCHES, 415 Volts</t>
    </r>
    <r>
      <rPr>
        <b/>
        <sz val="10"/>
        <rFont val="Verdana"/>
        <family val="2"/>
      </rPr>
      <t xml:space="preserve"> : -</t>
    </r>
  </si>
  <si>
    <t xml:space="preserve">  32 Amps.</t>
  </si>
  <si>
    <t xml:space="preserve">  63 Amps.</t>
  </si>
  <si>
    <t>200 Amps.</t>
  </si>
  <si>
    <t>300 Amps.</t>
  </si>
  <si>
    <t>400 Amps.</t>
  </si>
  <si>
    <r>
      <t xml:space="preserve">PORCELAIN  KIT-KAT  FUSE UNITS </t>
    </r>
    <r>
      <rPr>
        <b/>
        <sz val="10"/>
        <rFont val="Verdana"/>
        <family val="2"/>
      </rPr>
      <t>: -</t>
    </r>
  </si>
  <si>
    <t>16 Amps.</t>
  </si>
  <si>
    <t>32 Amps.</t>
  </si>
  <si>
    <t>63 Amps.</t>
  </si>
  <si>
    <t>Red Oxide Paint</t>
  </si>
  <si>
    <t>Ltr.</t>
  </si>
  <si>
    <t>Aluminium Paint</t>
  </si>
  <si>
    <t>2 Core</t>
  </si>
  <si>
    <t>4 Core</t>
  </si>
  <si>
    <t>8 Core</t>
  </si>
  <si>
    <t>12 Core</t>
  </si>
  <si>
    <t>A1</t>
  </si>
  <si>
    <t>16 Sq.mm.</t>
  </si>
  <si>
    <t>KM</t>
  </si>
  <si>
    <t>50 Sq.mm.</t>
  </si>
  <si>
    <t>70 Sq.mm</t>
  </si>
  <si>
    <t>150 Sq.mm</t>
  </si>
  <si>
    <t>300 Sq.mm</t>
  </si>
  <si>
    <t>400 Sq.mm</t>
  </si>
  <si>
    <t>A2</t>
  </si>
  <si>
    <t>TWIN  CORE  SINGLE PHASE UNARMOURED SERVICE CABLE :-</t>
  </si>
  <si>
    <t>2.5 Sqmm.</t>
  </si>
  <si>
    <t>Per Mtr.</t>
  </si>
  <si>
    <t>6.0 Sqmm.</t>
  </si>
  <si>
    <t>A3</t>
  </si>
  <si>
    <t>TWIN  CORE  SINGLE PHASE ARMOURED SERVICE CABLE :-</t>
  </si>
  <si>
    <t>4.0 Sqmm.</t>
  </si>
  <si>
    <t>A4</t>
  </si>
  <si>
    <t>FOUR  CORE  THREE PHASE UNARMOURED SERVICE CABLE :-</t>
  </si>
  <si>
    <t>10 Sq.mm.</t>
  </si>
  <si>
    <t>A5</t>
  </si>
  <si>
    <t>FOUR  CORE  THREE PHASE ARMOURED SERVICE CABLE :-</t>
  </si>
  <si>
    <t>6 Sq.mm.</t>
  </si>
  <si>
    <t>8 Sq.mm.</t>
  </si>
  <si>
    <t>25 Sq.mm.</t>
  </si>
  <si>
    <t>B1</t>
  </si>
  <si>
    <t>SINGLE CORE XLPE INSULATED, PVC SHEATHED UNARMOURED CABLES: -</t>
  </si>
  <si>
    <t>16 Sqmm.</t>
  </si>
  <si>
    <t>25 Sqmm.</t>
  </si>
  <si>
    <t>35 Sqmm.</t>
  </si>
  <si>
    <t>50 Sqmm.</t>
  </si>
  <si>
    <t>70 Sqmm.</t>
  </si>
  <si>
    <t>120 Sqmm.</t>
  </si>
  <si>
    <t>150 Sqmm.</t>
  </si>
  <si>
    <t>185 Sqmm.</t>
  </si>
  <si>
    <t>300 Sqmm.</t>
  </si>
  <si>
    <t xml:space="preserve"> MULTICORE CABLE </t>
  </si>
  <si>
    <t>B2</t>
  </si>
  <si>
    <r>
      <t>2 - CORE ARMOURED CABLE</t>
    </r>
    <r>
      <rPr>
        <b/>
        <sz val="10"/>
        <rFont val="Verdana"/>
        <family val="2"/>
      </rPr>
      <t xml:space="preserve"> :-</t>
    </r>
  </si>
  <si>
    <t>16.0 Sqmm.</t>
  </si>
  <si>
    <t>B3</t>
  </si>
  <si>
    <r>
      <t>4 - CORE ARMOURED CABLE</t>
    </r>
    <r>
      <rPr>
        <b/>
        <sz val="10"/>
        <rFont val="Verdana"/>
        <family val="2"/>
      </rPr>
      <t xml:space="preserve"> :-</t>
    </r>
  </si>
  <si>
    <t>B4</t>
  </si>
  <si>
    <r>
      <t>3.5 Core ARMOURED CABLE</t>
    </r>
    <r>
      <rPr>
        <b/>
        <sz val="10"/>
        <rFont val="Verdana"/>
        <family val="2"/>
      </rPr>
      <t xml:space="preserve"> :-</t>
    </r>
  </si>
  <si>
    <t xml:space="preserve">400 Sqmm. </t>
  </si>
  <si>
    <r>
      <t>33 kV A.B. XLPE CABLE</t>
    </r>
    <r>
      <rPr>
        <b/>
        <sz val="10"/>
        <rFont val="Verdana"/>
        <family val="2"/>
      </rPr>
      <t xml:space="preserve"> :-</t>
    </r>
  </si>
  <si>
    <t>3x95 Sq.mm.</t>
  </si>
  <si>
    <t>3x150 Sq.mm.</t>
  </si>
  <si>
    <t>3x185 Sq.mm.</t>
  </si>
  <si>
    <t>d</t>
  </si>
  <si>
    <t>3x240 Sq.mm.</t>
  </si>
  <si>
    <r>
      <t>ACCESSORIES FOR 33 kV A.B. XLPE CABLES</t>
    </r>
    <r>
      <rPr>
        <b/>
        <sz val="10"/>
        <rFont val="Verdana"/>
        <family val="2"/>
      </rPr>
      <t xml:space="preserve"> :-</t>
    </r>
  </si>
  <si>
    <t>33 kV AB Cable Straight thru' joint kit suitable for 35-70 sqmm</t>
  </si>
  <si>
    <t>33 kV AB Cable Straight thru' joint kit suitable for 95-120 sqmm</t>
  </si>
  <si>
    <t>33 kV AB Cable Straight thru' joint kit suitable for 185 sqmm</t>
  </si>
  <si>
    <t>33 kV ABC Termination kit 35-70 sqmm</t>
  </si>
  <si>
    <t>33 kV ABC Termination kit 95-120 sqmm</t>
  </si>
  <si>
    <t>33 kV ABC Termination kit 185 sqmm</t>
  </si>
  <si>
    <t>33 kV ABC Termination kit 240 sqmm</t>
  </si>
  <si>
    <t>33 kV ABC Termination kit 300 sqmm</t>
  </si>
  <si>
    <t>33 kV ABC Termination kit 400 sqmm</t>
  </si>
  <si>
    <t>Straight line Suspension Assembly (Suitable for all size cable)</t>
  </si>
  <si>
    <t>Dead-end Assembly (Suitable for all size cable)</t>
  </si>
  <si>
    <t>Cable tie for AB Cable</t>
  </si>
  <si>
    <r>
      <t>11 kV A.B. XLPE CABLE</t>
    </r>
    <r>
      <rPr>
        <b/>
        <sz val="10"/>
        <rFont val="Verdana"/>
        <family val="2"/>
      </rPr>
      <t xml:space="preserve"> :-</t>
    </r>
  </si>
  <si>
    <t xml:space="preserve">11 kV 3 phase Aerial Bunched Cable 3x35 + 35 Sq mm </t>
  </si>
  <si>
    <t xml:space="preserve">11 kV 3 phase Aerial Bunched Cable 3x70 + 70 Sq mm </t>
  </si>
  <si>
    <t xml:space="preserve">11 kV 3 phase Aerial Bunched Cable 3x95 + 95 Sq mm </t>
  </si>
  <si>
    <t xml:space="preserve">11 kV 3 phase Aerial Bunched Cable 3x120 + 120 Sq mm </t>
  </si>
  <si>
    <r>
      <t>ACCESSORIES FOR 11 kV AB XLPE CABLES</t>
    </r>
    <r>
      <rPr>
        <b/>
        <sz val="10"/>
        <rFont val="Verdana"/>
        <family val="2"/>
      </rPr>
      <t xml:space="preserve"> :-</t>
    </r>
  </si>
  <si>
    <t>11 kV AB Cable Straight thru' joint kit suitable for 35-70 sqmm</t>
  </si>
  <si>
    <t>11 kV AB Cable Straight thru' joint kit suitable for 95-120 sqmm</t>
  </si>
  <si>
    <t>11 kV ABC - T Jointing kit 95 - 120 Sqmm</t>
  </si>
  <si>
    <t>11 kV ABC Termination kit 35-70 sqmm</t>
  </si>
  <si>
    <t>11 kV ABC Termination kit 95-120 sqmm</t>
  </si>
  <si>
    <r>
      <t>L.T. A.B. XLPE CABLE</t>
    </r>
    <r>
      <rPr>
        <b/>
        <sz val="10"/>
        <rFont val="Verdana"/>
        <family val="2"/>
      </rPr>
      <t xml:space="preserve"> :-</t>
    </r>
  </si>
  <si>
    <t>LT 1 phase 3 Wire Aerial Bunched Cable of Size 1X25+1X16+1x25</t>
  </si>
  <si>
    <t>LT 3 phase 5 Wire Aerial Bunched Cable of Size 3X16+1X16+1x25</t>
  </si>
  <si>
    <t>LT 3 phase 5 Wire Aerial Bunched Cable of Size 3X25+1X16+1x25</t>
  </si>
  <si>
    <t>LT 3 phase 5 Wire Aerial Bunched Cable of Size 3X35+1x16+1x25</t>
  </si>
  <si>
    <t>LT 3 phase 5 Wire Aerial Bunched Cable of Size 3X50+1x16+1x35</t>
  </si>
  <si>
    <t>LT 3 phase 5 Wire Aerial Bunched Cable of Size 3X50+1X25+1x35</t>
  </si>
  <si>
    <t>LT 3 phase 5 Wire Aerial Bunched Cable of Size 3X70+1x16+1x50</t>
  </si>
  <si>
    <t>LT 3 phase 4 Wire Aerial Bunched Cable of Size 3X16+1x25</t>
  </si>
  <si>
    <t>LT 3 phase 4 Wire Aerial Bunched Cable of Size 3X25+1x25</t>
  </si>
  <si>
    <t>LT 1 phase 2 Wire AB XLPE Cable 1x16 + 1x25 sqmm. (6% sag)</t>
  </si>
  <si>
    <t>ACCESSORIES FOR L.T. AB XLPE CABLE :-</t>
  </si>
  <si>
    <t>Distribution box 1 ph. 9 connectors along with 2 Nos. Steel Strap &amp; Buckles.</t>
  </si>
  <si>
    <t>Distribution box 3 phase 5 connectors along with 2 Nos. Steel Strap &amp; Buckles.</t>
  </si>
  <si>
    <t xml:space="preserve">Piercing connector suitable for 95- 16 sqmm to 10-2.5 sqmm. for street light and service connection. </t>
  </si>
  <si>
    <t xml:space="preserve">Piercing connector suitable for 95- 16 sqmm to 50-16 sqmm. cable for Distribution Box. </t>
  </si>
  <si>
    <t>Piercing connector suitable for 95- 16 sqmm to 95-16 sqmm. for Tee connection.</t>
  </si>
  <si>
    <t>Pre-Insulated Bimetallic crimping lugs for Transformer connector</t>
  </si>
  <si>
    <t xml:space="preserve">Straight through joints </t>
  </si>
  <si>
    <t>Service Ring</t>
  </si>
  <si>
    <t>Earthing Coil for messenger wire</t>
  </si>
  <si>
    <t>Anchor sleeve for messenger wire</t>
  </si>
  <si>
    <t>Universal hook &amp; Bolts &amp; nuts</t>
  </si>
  <si>
    <t xml:space="preserve">Anchor clamp assembly (consisting of GI Pole Clamp, GI Flat type I-hook &amp; Nylon Cable tie). </t>
  </si>
  <si>
    <t xml:space="preserve">Suspension clamp assembly (consisting of GI Pole Clamp, GI Flat type I-hook &amp; Nylon Cable tie). </t>
  </si>
  <si>
    <t>End cap for 50/70 Sq.mm</t>
  </si>
  <si>
    <t>Universal distribution connector</t>
  </si>
  <si>
    <t>Cable tie (UV protected black colour) for AB Cable</t>
  </si>
  <si>
    <t>Pole Clamp</t>
  </si>
  <si>
    <t>Eye Hook</t>
  </si>
  <si>
    <r>
      <t>STRAIGHT  THROUGH  JOINTING  KITS  SUITABLE  FOR  1.1 kV  CLASS  LT  UG  CABLES  SIZE IN SQ. MM</t>
    </r>
    <r>
      <rPr>
        <b/>
        <sz val="10"/>
        <rFont val="Verdana"/>
        <family val="2"/>
      </rPr>
      <t xml:space="preserve"> :-</t>
    </r>
  </si>
  <si>
    <t>10 Sq.mm, 4 Core</t>
  </si>
  <si>
    <t>16 Sq.mm, 4 Core</t>
  </si>
  <si>
    <t>25 Sq.mm, 4 Core</t>
  </si>
  <si>
    <t>70 Sq.mm, 3.5 Core</t>
  </si>
  <si>
    <t>150 Sq.mm, 3.5 Core</t>
  </si>
  <si>
    <t>300 Sq.mm, 3.5 Core</t>
  </si>
  <si>
    <t>400 Sq.mm, 3.5 Core</t>
  </si>
  <si>
    <r>
      <t>3 CORE XLPE UG CABLE</t>
    </r>
    <r>
      <rPr>
        <b/>
        <sz val="10"/>
        <rFont val="Verdana"/>
        <family val="2"/>
      </rPr>
      <t xml:space="preserve"> :-</t>
    </r>
  </si>
  <si>
    <r>
      <t>33 kV 3 CORE XLPE UG  CABLE</t>
    </r>
    <r>
      <rPr>
        <b/>
        <sz val="10"/>
        <rFont val="Verdana"/>
        <family val="2"/>
      </rPr>
      <t xml:space="preserve"> :-</t>
    </r>
  </si>
  <si>
    <t>3x400 Sq.mm.</t>
  </si>
  <si>
    <r>
      <t>11 kV 3 CORE XLPE UG CABLE</t>
    </r>
    <r>
      <rPr>
        <b/>
        <sz val="10"/>
        <rFont val="Verdana"/>
        <family val="2"/>
      </rPr>
      <t xml:space="preserve"> :-</t>
    </r>
  </si>
  <si>
    <t>95 Sq.mm</t>
  </si>
  <si>
    <t>120 Sq.mm</t>
  </si>
  <si>
    <t>240 Sq.mm</t>
  </si>
  <si>
    <r>
      <t>33 kV JOINTING KIT</t>
    </r>
    <r>
      <rPr>
        <b/>
        <sz val="10"/>
        <rFont val="Verdana"/>
        <family val="2"/>
      </rPr>
      <t xml:space="preserve"> :-</t>
    </r>
  </si>
  <si>
    <t>End terminating jointing kit upto 240 sqmm XLPE cable</t>
  </si>
  <si>
    <t>End terminating jointing kit for 400 sqmm XLPE cable</t>
  </si>
  <si>
    <r>
      <t>11 kV  JOINTING  AND CABLE TERMINATION  KITS</t>
    </r>
    <r>
      <rPr>
        <b/>
        <sz val="10"/>
        <rFont val="Verdana"/>
        <family val="2"/>
      </rPr>
      <t xml:space="preserve"> :-</t>
    </r>
  </si>
  <si>
    <t>3x95 Sq.mm</t>
  </si>
  <si>
    <t>3x150 Sq.mm</t>
  </si>
  <si>
    <t>3x240 Sq. mm</t>
  </si>
  <si>
    <t>3x400 Sq. mm</t>
  </si>
  <si>
    <r>
      <t>30 VOLTS 100 AH LEAD ACID BATTERY WITH BATTERY-CHARGER AND STAND</t>
    </r>
    <r>
      <rPr>
        <b/>
        <sz val="10"/>
        <rFont val="Verdana"/>
        <family val="2"/>
      </rPr>
      <t xml:space="preserve"> :-</t>
    </r>
  </si>
  <si>
    <t>Battery charger</t>
  </si>
  <si>
    <t>Battery (Low Maintenance SAN container)</t>
  </si>
  <si>
    <r>
      <t>LAMPS</t>
    </r>
    <r>
      <rPr>
        <b/>
        <sz val="10"/>
        <rFont val="Verdana"/>
        <family val="2"/>
      </rPr>
      <t xml:space="preserve"> : -</t>
    </r>
  </si>
  <si>
    <t>CFL 7 Watts</t>
  </si>
  <si>
    <t>CFL 11 Watts</t>
  </si>
  <si>
    <t>CFL 15 Watts</t>
  </si>
  <si>
    <t>CFL 20 Watts</t>
  </si>
  <si>
    <t>CFL 23 Watts</t>
  </si>
  <si>
    <t xml:space="preserve">125 Watt Mercury Vapour </t>
  </si>
  <si>
    <t xml:space="preserve">250 Watt Mercury Vapour </t>
  </si>
  <si>
    <t xml:space="preserve">250 Watt Metal Halide  </t>
  </si>
  <si>
    <t xml:space="preserve">250 Watt Sodium Vapour </t>
  </si>
  <si>
    <t>Halogen Filament (1000 Watts)</t>
  </si>
  <si>
    <t>Tube Light Rod (T5 type)</t>
  </si>
  <si>
    <t>Search Light Unit with 1000 Watt Halogen Lamp.</t>
  </si>
  <si>
    <t xml:space="preserve">Street Light fitting with tube light </t>
  </si>
  <si>
    <t>Street Light fitting with CFL</t>
  </si>
  <si>
    <t>HPSV lamp 150 watt</t>
  </si>
  <si>
    <t>e</t>
  </si>
  <si>
    <t>HPSV Choke 150 watt</t>
  </si>
  <si>
    <t>f</t>
  </si>
  <si>
    <t>HPSV Choke 250 watt</t>
  </si>
  <si>
    <t>g</t>
  </si>
  <si>
    <t>150 Watt metal halide fitting / HPSV fitting</t>
  </si>
  <si>
    <t>h</t>
  </si>
  <si>
    <t>250 Watt metal halide fitting / HPSV fitting</t>
  </si>
  <si>
    <t>Mercury vapour lamp for Gate lighting 2 Nos</t>
  </si>
  <si>
    <t>7131230128</t>
  </si>
  <si>
    <t>LED  LAMPS</t>
  </si>
  <si>
    <t>LED 7 Watt lamp with holder</t>
  </si>
  <si>
    <t>LED 12 Watt lamp with holder</t>
  </si>
  <si>
    <t>LED 14 Watt lamp with holder</t>
  </si>
  <si>
    <t>LED 15 Watt lamp with holder</t>
  </si>
  <si>
    <t>LED  LAMPS WITH COMPLETE FITTING</t>
  </si>
  <si>
    <t>LED  LAMPS WITH COMPLETE FITTING-24 W</t>
  </si>
  <si>
    <t>LED  LAMPS WITH COMPLETE FITTING-48 W</t>
  </si>
  <si>
    <t>LED  LAMPS WITH COMPLETE FITTING-60 W</t>
  </si>
  <si>
    <r>
      <t>JOINTING SLEEVES</t>
    </r>
    <r>
      <rPr>
        <b/>
        <sz val="10"/>
        <rFont val="Verdana"/>
        <family val="2"/>
      </rPr>
      <t xml:space="preserve"> : -</t>
    </r>
  </si>
  <si>
    <t>Weasel, Squirrel &amp; Rabbit Conductor.</t>
  </si>
  <si>
    <t>Dog Conductor.</t>
  </si>
  <si>
    <t>BIMETALLIC CLAMP FOR</t>
  </si>
  <si>
    <t>Power Transformer</t>
  </si>
  <si>
    <t>VCB</t>
  </si>
  <si>
    <t>CT-PT Unit</t>
  </si>
  <si>
    <t>Distribution Transformer (HT)</t>
  </si>
  <si>
    <t>Distribution Transformer (LT)</t>
  </si>
  <si>
    <t>Aluminium binding wire and tape.</t>
  </si>
  <si>
    <t>Aluminium bobbin.</t>
  </si>
  <si>
    <t>250 Amps.</t>
  </si>
  <si>
    <r>
      <t>SINGLE PHASE, 230 Volts ENERGY METERS</t>
    </r>
    <r>
      <rPr>
        <b/>
        <sz val="10"/>
        <rFont val="Verdana"/>
        <family val="2"/>
      </rPr>
      <t xml:space="preserve"> : -</t>
    </r>
  </si>
  <si>
    <t>Static 5.0-30 Amps Pilfer proof with transparent poly carbonate meter box.</t>
  </si>
  <si>
    <r>
      <t>POLY PHASE STATIC ENERGY METERS</t>
    </r>
    <r>
      <rPr>
        <b/>
        <sz val="10"/>
        <rFont val="Verdana"/>
        <family val="2"/>
      </rPr>
      <t xml:space="preserve"> : -</t>
    </r>
  </si>
  <si>
    <t>Three Phase, 10-60 Amps. with poly carbonate Meter Box</t>
  </si>
  <si>
    <t>CT operated electronic static meters 100/5 Amp. With data storage.</t>
  </si>
  <si>
    <t>CT operated electronic static meters with DLMS.</t>
  </si>
  <si>
    <t>CT operated electronic static meters with AMR (Composite Unit) with LTCTs / Modem / Meter / Meter Box.</t>
  </si>
  <si>
    <r>
      <t>H.T. STATIC TRIVECTOR METERS</t>
    </r>
    <r>
      <rPr>
        <b/>
        <sz val="10"/>
        <rFont val="Verdana"/>
        <family val="2"/>
      </rPr>
      <t xml:space="preserve"> :-</t>
    </r>
  </si>
  <si>
    <t>3 Ø 4 Wire 0.5S with DLMS Protocol category A</t>
  </si>
  <si>
    <t>3 Ø 4 Wire 0.5S with DLMS Protocol category B</t>
  </si>
  <si>
    <t xml:space="preserve">3 Ø 4 Wire 0.2S bulk consumer meter </t>
  </si>
  <si>
    <t>3 Ø 3 Wire 0.2S bulk consumer meter</t>
  </si>
  <si>
    <t>3 Ø 4 Wire 0.5S consumer meter</t>
  </si>
  <si>
    <t>3 Ø 4 Wire 0.2S 5A bulk consumer meter</t>
  </si>
  <si>
    <t>Test terminal Box (TTB)</t>
  </si>
  <si>
    <t>CMRI (Common Meter Reading Instrument)</t>
  </si>
  <si>
    <t xml:space="preserve">Spot Billing Machine </t>
  </si>
  <si>
    <r>
      <t>H.T. SUMMATION METER FOR</t>
    </r>
    <r>
      <rPr>
        <b/>
        <sz val="10"/>
        <rFont val="Verdana"/>
        <family val="2"/>
      </rPr>
      <t xml:space="preserve"> :- </t>
    </r>
  </si>
  <si>
    <t>3 Ø 4 Wire 0.2S accuracy class CT operated meter (for __ /110 Volts ; __/1 Amps ; or __/ 5 Amps)</t>
  </si>
  <si>
    <r>
      <rPr>
        <b/>
        <u/>
        <sz val="10"/>
        <rFont val="Verdana"/>
        <family val="2"/>
      </rPr>
      <t>Prepaid smart Energy Meter with all accessories</t>
    </r>
    <r>
      <rPr>
        <b/>
        <sz val="10"/>
        <rFont val="Verdana"/>
        <family val="2"/>
      </rPr>
      <t xml:space="preserve"> :-</t>
    </r>
  </si>
  <si>
    <t>Single Phase 10-60A</t>
  </si>
  <si>
    <t>Three Phase 10-60A</t>
  </si>
  <si>
    <t>Universal Meter Box for HT meters.</t>
  </si>
  <si>
    <r>
      <t>RELAYS</t>
    </r>
    <r>
      <rPr>
        <b/>
        <sz val="10"/>
        <rFont val="Verdana"/>
        <family val="2"/>
      </rPr>
      <t xml:space="preserve"> :-</t>
    </r>
  </si>
  <si>
    <t>Non Directional, 30-V, 5-Amps IDMT relay.</t>
  </si>
  <si>
    <t>Set of 3 O.C. relays instantaneous high set feature numerical</t>
  </si>
  <si>
    <t>Set of 2 O.C.+ 1 earth fault relay without numerical instantaneous high set feature</t>
  </si>
  <si>
    <t>Master trip relays</t>
  </si>
  <si>
    <t>Numerical Over current &amp; Earth Fault Protection Relay with accessories</t>
  </si>
  <si>
    <t>L.T. C.T.</t>
  </si>
  <si>
    <t>100/5 Amps.</t>
  </si>
  <si>
    <t>200/5 Amps.</t>
  </si>
  <si>
    <t>300/5 Amps.</t>
  </si>
  <si>
    <t>500/5 Amps.</t>
  </si>
  <si>
    <r>
      <t>11 kV C.T's (OUT DOOR TYPE)</t>
    </r>
    <r>
      <rPr>
        <b/>
        <sz val="10"/>
        <rFont val="Verdana"/>
        <family val="2"/>
      </rPr>
      <t xml:space="preserve"> :-</t>
    </r>
  </si>
  <si>
    <t>200-100/5 Amps.</t>
  </si>
  <si>
    <t>300-150/5 Amps.</t>
  </si>
  <si>
    <r>
      <t>33 kV OIL FILLED CT's</t>
    </r>
    <r>
      <rPr>
        <b/>
        <sz val="10"/>
        <rFont val="Verdana"/>
        <family val="2"/>
      </rPr>
      <t xml:space="preserve"> :-</t>
    </r>
  </si>
  <si>
    <t xml:space="preserve">33 kV CT's (400-200/5) Amps. Oil filled </t>
  </si>
  <si>
    <t>33 kV CT's (300-150/5) Amps oil filled</t>
  </si>
  <si>
    <t>33 kV CT's (200-100/5-5) Amps oil filled</t>
  </si>
  <si>
    <t>33 kV CT's  (100-50/5) Amps. oil filled</t>
  </si>
  <si>
    <t>132 kV C.T.</t>
  </si>
  <si>
    <t>100-50/1-1A</t>
  </si>
  <si>
    <t>150-75/1-1A</t>
  </si>
  <si>
    <t>200-100/1-1A</t>
  </si>
  <si>
    <t>300-150/1-1A</t>
  </si>
  <si>
    <t>600-300/1-1A</t>
  </si>
  <si>
    <t>220 kV C.T.</t>
  </si>
  <si>
    <t>800-400/1-1A</t>
  </si>
  <si>
    <t>11 kV PT Station Type</t>
  </si>
  <si>
    <t>11 kV Single Phase PT's (Oil filled)</t>
  </si>
  <si>
    <t>33 kV Single Phase PT's (Oil filled)</t>
  </si>
  <si>
    <t>132 kV P.T.</t>
  </si>
  <si>
    <t>220 kV P.T.</t>
  </si>
  <si>
    <r>
      <t>11 kV OIL IMMERSED 3 PHASE CT-PT UNITS</t>
    </r>
    <r>
      <rPr>
        <b/>
        <sz val="10"/>
        <rFont val="Verdana"/>
        <family val="2"/>
      </rPr>
      <t xml:space="preserve"> : -</t>
    </r>
  </si>
  <si>
    <t>7.5/5 A</t>
  </si>
  <si>
    <t>10/5 A</t>
  </si>
  <si>
    <t>15/5 A</t>
  </si>
  <si>
    <t>25/5 A</t>
  </si>
  <si>
    <t>50/5 A</t>
  </si>
  <si>
    <t>75/5 A</t>
  </si>
  <si>
    <t>300-150/5 A</t>
  </si>
  <si>
    <t>200/5 A</t>
  </si>
  <si>
    <t>200-100/5 A</t>
  </si>
  <si>
    <t>400-200/5 A</t>
  </si>
  <si>
    <t>100/5 A</t>
  </si>
  <si>
    <r>
      <t>33 kV OIL IMMERSED 3 PHASE CT-PT UNITS</t>
    </r>
    <r>
      <rPr>
        <b/>
        <sz val="10"/>
        <rFont val="Verdana"/>
        <family val="2"/>
      </rPr>
      <t xml:space="preserve"> : -</t>
    </r>
  </si>
  <si>
    <t>5/5 A</t>
  </si>
  <si>
    <t>20/5 A</t>
  </si>
  <si>
    <t>30/5 A</t>
  </si>
  <si>
    <t>100 /5A</t>
  </si>
  <si>
    <t>200/5A</t>
  </si>
  <si>
    <r>
      <t>INDOOR TYPE 11 kV METERING CUBICAL CT-PT UNITS</t>
    </r>
    <r>
      <rPr>
        <b/>
        <sz val="10"/>
        <rFont val="Verdana"/>
        <family val="2"/>
      </rPr>
      <t xml:space="preserve"> : -</t>
    </r>
  </si>
  <si>
    <r>
      <t>LT SINGLE PHASE MCB</t>
    </r>
    <r>
      <rPr>
        <b/>
        <sz val="10"/>
        <rFont val="Verdana"/>
        <family val="2"/>
      </rPr>
      <t xml:space="preserve"> : -</t>
    </r>
  </si>
  <si>
    <t>5 Amps.</t>
  </si>
  <si>
    <t>6 to 16 Amps.</t>
  </si>
  <si>
    <r>
      <t>LT THREE PHASE MCB</t>
    </r>
    <r>
      <rPr>
        <b/>
        <sz val="10"/>
        <rFont val="Verdana"/>
        <family val="2"/>
      </rPr>
      <t xml:space="preserve"> : -</t>
    </r>
  </si>
  <si>
    <r>
      <t>ELCB - MCB COMPOSITE UNIT</t>
    </r>
    <r>
      <rPr>
        <b/>
        <sz val="10"/>
        <rFont val="Verdana"/>
        <family val="2"/>
      </rPr>
      <t xml:space="preserve"> : -</t>
    </r>
  </si>
  <si>
    <t>10 Amps. (100 mA DP)</t>
  </si>
  <si>
    <t>16 Amps. (100 mA DP)</t>
  </si>
  <si>
    <t>20 Amps. (100 mA DP)</t>
  </si>
  <si>
    <r>
      <t>MOULDED CASE CIRCUIT BREAKERS</t>
    </r>
    <r>
      <rPr>
        <b/>
        <sz val="10"/>
        <rFont val="Verdana"/>
        <family val="2"/>
      </rPr>
      <t xml:space="preserve"> : -</t>
    </r>
  </si>
  <si>
    <t>32 Amps. (10 kA TP)</t>
  </si>
  <si>
    <t>100 Amps. (10 kA TP)</t>
  </si>
  <si>
    <t>160 Amps. (10 kA TP)</t>
  </si>
  <si>
    <t>300 Amps. (35 kA TP)</t>
  </si>
  <si>
    <t>450 TO 500 Amps. (35 kA TP)</t>
  </si>
  <si>
    <r>
      <t>LT DISTRIBUTION BOX WITH ISOLATOR ON INCOMING &amp; SPMCCB's ON OUTGOING SIDE</t>
    </r>
    <r>
      <rPr>
        <b/>
        <sz val="10"/>
        <rFont val="Verdana"/>
        <family val="2"/>
      </rPr>
      <t xml:space="preserve"> : - </t>
    </r>
  </si>
  <si>
    <t>For 63 kVA X'mer (200 A, isolator &amp; 6 SP MCCB of 100 A)</t>
  </si>
  <si>
    <t>For 100 kVA X'mer (200 A, isolator &amp; 6 SP MCCB of 200 A)</t>
  </si>
  <si>
    <t>For 200 kVA X'mer (400 A, isolator &amp; 6 SP MCCB of 120A)</t>
  </si>
  <si>
    <t>For 315 kVA X'mer (600 A, isolator &amp; 9 SP MCCB of 160A)</t>
  </si>
  <si>
    <t>For 500 kVA X'mer (800 A, isolator &amp; 12 SP MCCB of 150 A)</t>
  </si>
  <si>
    <r>
      <t>11 kV VCB &amp; CONTROL PANEL</t>
    </r>
    <r>
      <rPr>
        <b/>
        <sz val="10"/>
        <rFont val="Verdana"/>
        <family val="2"/>
      </rPr>
      <t xml:space="preserve"> : -</t>
    </r>
  </si>
  <si>
    <r>
      <t>11 kV Kiosk VCB</t>
    </r>
    <r>
      <rPr>
        <sz val="10"/>
        <rFont val="Verdana"/>
        <family val="2"/>
      </rPr>
      <t xml:space="preserve"> </t>
    </r>
  </si>
  <si>
    <r>
      <t>11 kV VCB</t>
    </r>
    <r>
      <rPr>
        <sz val="10"/>
        <rFont val="Verdana"/>
        <family val="2"/>
      </rPr>
      <t xml:space="preserve"> without control panel &amp; CT's.</t>
    </r>
  </si>
  <si>
    <r>
      <t>11 kV CONTROL PANEL</t>
    </r>
    <r>
      <rPr>
        <b/>
        <sz val="10"/>
        <rFont val="Verdana"/>
        <family val="2"/>
      </rPr>
      <t xml:space="preserve"> : -</t>
    </r>
  </si>
  <si>
    <t>Feeder Control (Static Relays)</t>
  </si>
  <si>
    <t>Transformer Control (Static Relays)</t>
  </si>
  <si>
    <t>2 Feeder Control (Static Relays)</t>
  </si>
  <si>
    <t>1 Transformer+1 Feeder (Static Relays)</t>
  </si>
  <si>
    <t>11 kV Control &amp; Relay Panel for Capacitor Bank</t>
  </si>
  <si>
    <r>
      <t>33 kV VCB &amp; CONTROL PANEL</t>
    </r>
    <r>
      <rPr>
        <b/>
        <sz val="10"/>
        <rFont val="Verdana"/>
        <family val="2"/>
      </rPr>
      <t xml:space="preserve"> : -</t>
    </r>
  </si>
  <si>
    <r>
      <t>33 kV VCB</t>
    </r>
    <r>
      <rPr>
        <sz val="10"/>
        <rFont val="Verdana"/>
        <family val="2"/>
      </rPr>
      <t xml:space="preserve"> without control panel &amp; CT's.</t>
    </r>
  </si>
  <si>
    <r>
      <t>33 kV CONTROL PANEL</t>
    </r>
    <r>
      <rPr>
        <b/>
        <sz val="10"/>
        <rFont val="Verdana"/>
        <family val="2"/>
      </rPr>
      <t xml:space="preserve"> : -</t>
    </r>
  </si>
  <si>
    <t>1 Feeder + 1 Transformer (Static Relays)</t>
  </si>
  <si>
    <r>
      <t xml:space="preserve">33 kV </t>
    </r>
    <r>
      <rPr>
        <sz val="10"/>
        <rFont val="Verdana"/>
        <family val="2"/>
      </rPr>
      <t>Transformer Control Panel (Static Relays)</t>
    </r>
  </si>
  <si>
    <r>
      <t>33 kV</t>
    </r>
    <r>
      <rPr>
        <sz val="10"/>
        <rFont val="Verdana"/>
        <family val="2"/>
      </rPr>
      <t xml:space="preserve"> feeder control panel (Static Relays).</t>
    </r>
  </si>
  <si>
    <r>
      <t>33 kV</t>
    </r>
    <r>
      <rPr>
        <sz val="10"/>
        <rFont val="Verdana"/>
        <family val="2"/>
      </rPr>
      <t xml:space="preserve"> 2 feeder control panel (Static Relays).</t>
    </r>
  </si>
  <si>
    <t>11 kV Sectionalizer.</t>
  </si>
  <si>
    <r>
      <t>ISOLATORS COMPLETE SET</t>
    </r>
    <r>
      <rPr>
        <b/>
        <sz val="10"/>
        <rFont val="Verdana"/>
        <family val="2"/>
      </rPr>
      <t xml:space="preserve"> :-</t>
    </r>
  </si>
  <si>
    <t>11 kV ; 600 Amps.</t>
  </si>
  <si>
    <t>33 kV ; 600 Amps with earth switch.</t>
  </si>
  <si>
    <t>33 kV ; 600 Amps without earth switch.</t>
  </si>
  <si>
    <r>
      <t>POLE MOUNTED GAS FILLED LT SHUNT CAPACITORS</t>
    </r>
    <r>
      <rPr>
        <b/>
        <sz val="10"/>
        <rFont val="Verdana"/>
        <family val="2"/>
      </rPr>
      <t xml:space="preserve"> :-</t>
    </r>
  </si>
  <si>
    <t xml:space="preserve">  5 kVAR</t>
  </si>
  <si>
    <t>10 kVAR</t>
  </si>
  <si>
    <t>12 kVAR</t>
  </si>
  <si>
    <t>20 kVAR</t>
  </si>
  <si>
    <r>
      <t>11 kV CAPACITORS</t>
    </r>
    <r>
      <rPr>
        <b/>
        <sz val="10"/>
        <rFont val="Verdana"/>
        <family val="2"/>
      </rPr>
      <t xml:space="preserve"> : -</t>
    </r>
  </si>
  <si>
    <t>ACCESSORIES FOR 11 kV CAPACITOR BANK :-</t>
  </si>
  <si>
    <t>11 kV, Aluminium Wound, Dry type Series reactors</t>
  </si>
  <si>
    <t>0.2% Reactor suitable for 363 kVAR step</t>
  </si>
  <si>
    <t>0.2% Reactor suitable for 726 kVAR step</t>
  </si>
  <si>
    <t>Mounting GI structure for above isolator</t>
  </si>
  <si>
    <r>
      <t>STEEL TUBULAR POLES CONFORMING TO IS : 2713 (Part-ll), 1980 WITH "ISI" CERTIFICATION MARK</t>
    </r>
    <r>
      <rPr>
        <b/>
        <sz val="10"/>
        <rFont val="Verdana"/>
        <family val="2"/>
      </rPr>
      <t xml:space="preserve"> :-</t>
    </r>
  </si>
  <si>
    <t>410-SP-60, 12 Mtrs. Long.</t>
  </si>
  <si>
    <t>410-SP-29, 9 Mtrs. Long.</t>
  </si>
  <si>
    <t>Poly Carbonate seal double anker type</t>
  </si>
  <si>
    <r>
      <t>L.T. FEEDER PILLER BOX</t>
    </r>
    <r>
      <rPr>
        <b/>
        <sz val="10"/>
        <rFont val="Verdana"/>
        <family val="2"/>
      </rPr>
      <t xml:space="preserve"> :-</t>
    </r>
  </si>
  <si>
    <t>LT Feeder Piller box for 1 phase 8 connection made of M.S.Sheet.</t>
  </si>
  <si>
    <t>LT Feeder Piller box for 1 phase 12 connection made of M.S.Sheet.</t>
  </si>
  <si>
    <t xml:space="preserve">LT Feeder Piller box for 3 phase 4 connection made of M.S.Sheet. </t>
  </si>
  <si>
    <t>LT Feeder Piller box for 3 phase 8 connection made of M.S.Sheet.</t>
  </si>
  <si>
    <r>
      <t>L.T. SPACERS</t>
    </r>
    <r>
      <rPr>
        <b/>
        <sz val="10"/>
        <rFont val="Verdana"/>
        <family val="2"/>
      </rPr>
      <t xml:space="preserve"> :-</t>
    </r>
  </si>
  <si>
    <t>L.T.Line Spacers</t>
  </si>
  <si>
    <t>GSM Modem</t>
  </si>
  <si>
    <r>
      <t>ALUMINIUM END TERMINALS (LUGS)</t>
    </r>
    <r>
      <rPr>
        <b/>
        <sz val="10"/>
        <rFont val="Verdana"/>
        <family val="2"/>
      </rPr>
      <t xml:space="preserve"> :-</t>
    </r>
  </si>
  <si>
    <t>10 Sq mm</t>
  </si>
  <si>
    <t>16 Sq mm</t>
  </si>
  <si>
    <t>25 Sq mm</t>
  </si>
  <si>
    <t>32 Sq mm</t>
  </si>
  <si>
    <t>50 Sq mm</t>
  </si>
  <si>
    <t>70 Sq mm</t>
  </si>
  <si>
    <t>95 Sq mm</t>
  </si>
  <si>
    <t>120 Sq mm</t>
  </si>
  <si>
    <t>150 Sq mm</t>
  </si>
  <si>
    <t>185 Sq mm</t>
  </si>
  <si>
    <t>225 Sq mm</t>
  </si>
  <si>
    <t>240 Sq mm</t>
  </si>
  <si>
    <t>300 Sq mm</t>
  </si>
  <si>
    <t>400 Sq mm</t>
  </si>
  <si>
    <t>Battery Hydrometer</t>
  </si>
  <si>
    <t>Digital Multimeter Electronic Type</t>
  </si>
  <si>
    <t>Rubber Hand gloves 15 kV (Seamless)</t>
  </si>
  <si>
    <t>Thermometer (Wall Mounted)</t>
  </si>
  <si>
    <t>Portable drilling machine</t>
  </si>
  <si>
    <t>Megger 500 V</t>
  </si>
  <si>
    <t>Megger up to 2.5 kV</t>
  </si>
  <si>
    <t>Silica gel</t>
  </si>
  <si>
    <t>Grounding Sticks (Galvanised Earthing Rods 25 mm, 3 Mtr. long)</t>
  </si>
  <si>
    <t>Panel lndication lamps</t>
  </si>
  <si>
    <t>Ring Spanners  (6x7,8x9, 10x11,12x13,14x15,16x17, 18x19, 20x22x,21x23,24x27,25x28,30x32)</t>
  </si>
  <si>
    <t xml:space="preserve">Tube Spanners </t>
  </si>
  <si>
    <t>Pipe Wrench 24 inches size</t>
  </si>
  <si>
    <t>Pipe Wrench 18 inches size</t>
  </si>
  <si>
    <t>Double end spanner (6x7,8x9, 10x11,12x13,14x15,16x17,18x19, 20x22x,21x23,24x27, 25x28, 30x32)</t>
  </si>
  <si>
    <t>Hack saw frames + B185</t>
  </si>
  <si>
    <t>Hand Torch 5 cell</t>
  </si>
  <si>
    <t>Rechargeable LED Hand Torch</t>
  </si>
  <si>
    <t>Combination Plier / Cutting Plier</t>
  </si>
  <si>
    <t>Discharge Rod</t>
  </si>
  <si>
    <t>Neon tester</t>
  </si>
  <si>
    <t>Screw driver Set</t>
  </si>
  <si>
    <t>Screw driver 250 mm</t>
  </si>
  <si>
    <t>Screw driver 200 mm</t>
  </si>
  <si>
    <t>Screw driver 150 mm</t>
  </si>
  <si>
    <t>Hammer 8 Lbs (3629 gm)</t>
  </si>
  <si>
    <t>Hammer 2 Lbs (907 gm.)</t>
  </si>
  <si>
    <t>Allen keys set of 9 Pcs.(1.5 mm; 2 mm; 2.5 mm;3 mm; 4 mm; 5 mm; 6 mm; 8 mm; 10 mm) Black finish, box packing</t>
  </si>
  <si>
    <t xml:space="preserve">Adjustable Screw Spanner 12 inches </t>
  </si>
  <si>
    <t>Box spanners (of size 32Af, 27A/F, 30 A/F &amp; tommy Bar)</t>
  </si>
  <si>
    <t>D.C.Volt meter range - 3V to + 5V</t>
  </si>
  <si>
    <t>Specific gravity correction chart</t>
  </si>
  <si>
    <t>Wall mounting type holder for Hydrometer</t>
  </si>
  <si>
    <t>Rain Coats with Hoods</t>
  </si>
  <si>
    <t>Gum Boots</t>
  </si>
  <si>
    <t>Safety belts</t>
  </si>
  <si>
    <t>Safety helmets</t>
  </si>
  <si>
    <t xml:space="preserve">Fire fighting equipments (dry chemical powder type 5 Kg capacity) </t>
  </si>
  <si>
    <r>
      <t>Fire fighting equipments (CO</t>
    </r>
    <r>
      <rPr>
        <vertAlign val="subscript"/>
        <sz val="10"/>
        <rFont val="Verdana"/>
        <family val="2"/>
      </rPr>
      <t>2</t>
    </r>
    <r>
      <rPr>
        <sz val="10"/>
        <rFont val="Verdana"/>
        <family val="2"/>
      </rPr>
      <t xml:space="preserve"> fire extinguisher of 2 Kg Capacity)  </t>
    </r>
  </si>
  <si>
    <t xml:space="preserve">Electrically insulated 11 kV mats infront of electrical control panel </t>
  </si>
  <si>
    <t>HDPE Pipe 200 mm ID; 240 mm OD</t>
  </si>
  <si>
    <t>Jointing arrangement of HDPE Pipe</t>
  </si>
  <si>
    <t>G.I. Pipe 200 mm for 400 sqmm cable of dia 105 mm</t>
  </si>
  <si>
    <t>G.I. bend 200 mm</t>
  </si>
  <si>
    <t>G.I. bend 40 mm</t>
  </si>
  <si>
    <t>Caping of HDPE Pipe on both end of pipe with concreting and bricks work.</t>
  </si>
  <si>
    <t>600 mm</t>
  </si>
  <si>
    <t>900 mm</t>
  </si>
  <si>
    <t>10(i)</t>
  </si>
  <si>
    <t>M.S.Pipe 200 mm dia with collars</t>
  </si>
  <si>
    <t>RM (light)</t>
  </si>
  <si>
    <t>(ii)</t>
  </si>
  <si>
    <t>RM(medium)</t>
  </si>
  <si>
    <t>River sand</t>
  </si>
  <si>
    <t>Bags</t>
  </si>
  <si>
    <t>Route &amp; joint indicating stone with M.S. anchor rod</t>
  </si>
  <si>
    <t>Cable covering tiles 250x250x40 mm</t>
  </si>
  <si>
    <t>PVC lnsulation Tapes 19 mm wide and in rolls of 10 Mtrs</t>
  </si>
  <si>
    <t>Grey Enamel Paint smoke/battle ship</t>
  </si>
  <si>
    <t>Ltr</t>
  </si>
  <si>
    <t>Cotton Tapes 19 mm wide and in rolls of 50 Mtrs</t>
  </si>
  <si>
    <t>Hack saw blade 300x12.5 mm</t>
  </si>
  <si>
    <t>T.W. Meter Board, 300x300x75 mm, coated with varnish/SMC board</t>
  </si>
  <si>
    <t>Monoplast</t>
  </si>
  <si>
    <t>Bitumen compound</t>
  </si>
  <si>
    <t>Providing, Fabricating and fixing 8 SWG Chain link fencing (TATA Make) 75 x 75 mm Size Gl Chain link Mesh fencing made out of 65 x 65 x 6 mm MS angle as per drawing no. T&amp;D/DRG/MISC/2 Revision -2</t>
  </si>
  <si>
    <t>Earth spike</t>
  </si>
  <si>
    <r>
      <t>D.O.FUSE ELEMENT</t>
    </r>
    <r>
      <rPr>
        <b/>
        <sz val="10"/>
        <rFont val="Verdana"/>
        <family val="2"/>
      </rPr>
      <t xml:space="preserve"> :-</t>
    </r>
  </si>
  <si>
    <t>11 kV (1.5 Amp. to 10 Amp.)</t>
  </si>
  <si>
    <t>33 kV (25 Amp.)</t>
  </si>
  <si>
    <t>33 kV (50 Amp.)</t>
  </si>
  <si>
    <r>
      <t>T.C. FUSE WIRE</t>
    </r>
    <r>
      <rPr>
        <b/>
        <sz val="10"/>
        <rFont val="Verdana"/>
        <family val="2"/>
      </rPr>
      <t xml:space="preserve"> :-</t>
    </r>
  </si>
  <si>
    <t>22 SWG</t>
  </si>
  <si>
    <t>20 SWG</t>
  </si>
  <si>
    <t>18 SWG</t>
  </si>
  <si>
    <t>16 SWG</t>
  </si>
  <si>
    <t>14 SWG</t>
  </si>
  <si>
    <t>12 SWG</t>
  </si>
  <si>
    <t>10 SWG</t>
  </si>
  <si>
    <t>8 SWG</t>
  </si>
  <si>
    <t>Strain Plate (65x8 mm) for 33 kV</t>
  </si>
  <si>
    <t>Strain Plate (50x6 mm) for 11 kV</t>
  </si>
  <si>
    <t xml:space="preserve">25 mm dia 2500 mm long GI rod earth electrodes </t>
  </si>
  <si>
    <t>GI earthing pipe of 40 mm dia 3.04 mtr long with 12 mm hole at 18 places at equal distance trapered casing at lower end .</t>
  </si>
  <si>
    <t>Load Break Switches</t>
  </si>
  <si>
    <t>Load break switches only without panel</t>
  </si>
  <si>
    <r>
      <t>11 kV Compact Ring Main Unit (RMU)[VCB/SF6 Type]</t>
    </r>
    <r>
      <rPr>
        <b/>
        <sz val="10"/>
        <color indexed="10"/>
        <rFont val="Verdana"/>
        <family val="2"/>
      </rPr>
      <t xml:space="preserve"> </t>
    </r>
  </si>
  <si>
    <t>3 Way RMU, 2OD + 1VL, One Incomer + One Breaker + One Outgoing, 350 MVA, 650 Amps.</t>
  </si>
  <si>
    <t>4 Way RMU, 2OD + 2VL, (One Incomer + Two  Breakers + One Outgoing, 350 MVA, 650 Amps.</t>
  </si>
  <si>
    <t>5 Way RMU, 2OD + 3VL, (One Incomer + Three Breakers + One Outgoing), 350 MVA, 650 Amps.</t>
  </si>
  <si>
    <t>6 Way RMU, 2OD + 4VL,(One Incomer + Four Breakers + One Outgoing, 350 MVA, 650 Amps.</t>
  </si>
  <si>
    <t>1OD for RMU</t>
  </si>
  <si>
    <t>1VL for 350 MVA, 650 Amps RMU</t>
  </si>
  <si>
    <t>11 kV Compact Ring Main Unit (RMU) with only Load Break Switch</t>
  </si>
  <si>
    <t>(0+1) TYPE - MEANS 11 KV GAS (SF6) INSULATED RMU WITH ONE 630 A LOAD BREAK SWITCH.</t>
  </si>
  <si>
    <t>(0+3) TYPE - MEANS 11 KV GAS (SF6) INSULATED RMU WITH THREE 630 A LOAD BREAK SWITCHES.</t>
  </si>
  <si>
    <t>(0+4) TYPE - MEANS 11 KV GAS (SF6) INSULATED RMU WITH FOUR 630 A LOAD BREAK SWITCHES.</t>
  </si>
  <si>
    <t>(0+2)+BC+(0+2) TYPE - MEANS 11 KV GAS (SF6) INSULATED RMU WITH FOUR NOS. 630 A LOAD BREAK SWITCHES AND ONE BUS COUPLER IN BETWEEN AFTER ISOLATOR.</t>
  </si>
  <si>
    <t>(0+2)+BC+(0+2)+BC+(0+2) TYPE - MEANS 11 KV GAS (SF6) INSULATED RMU WITH SIX NOS. 630 A LOAD BREAK SWITCHES AND ONE BUS COUPLER WITH LBS IN BETWEEN AFTER ISOLATOR.</t>
  </si>
  <si>
    <t>Job</t>
  </si>
  <si>
    <t>LIST OF STANDARD STOCK MATERIALS FOR SoR OF 2018-19</t>
  </si>
  <si>
    <t>Annexure - 2</t>
  </si>
  <si>
    <t xml:space="preserve">Previous Rate in Revised SoR 2017-18 </t>
  </si>
  <si>
    <t>GST %</t>
  </si>
  <si>
    <t xml:space="preserve">Power Transformer 33/11 KV </t>
  </si>
  <si>
    <t>RELAYS :-</t>
  </si>
  <si>
    <t>Annexure - 1</t>
  </si>
  <si>
    <t>GST Rate (in %)</t>
  </si>
  <si>
    <t>Freight Charges</t>
  </si>
  <si>
    <t>Total rate including GST for purpose of estimation and for drawal from Area Store</t>
  </si>
  <si>
    <t>Not procured</t>
  </si>
  <si>
    <t>(18%)</t>
  </si>
  <si>
    <t>New Ex-works Rate including Freight charges</t>
  </si>
  <si>
    <r>
      <t>POLYMER POST INSULATOR</t>
    </r>
    <r>
      <rPr>
        <b/>
        <sz val="10"/>
        <rFont val="Verdana"/>
        <family val="2"/>
      </rPr>
      <t xml:space="preserve"> :-</t>
    </r>
  </si>
  <si>
    <t xml:space="preserve">Total rate including GST </t>
  </si>
  <si>
    <t xml:space="preserve">Previous Ex-Works Rate + Freight charges in Revised SoR 2017-18 </t>
  </si>
  <si>
    <r>
      <t>A.B. SWITCH  WITH COMPLETE  FITTING - POLYMER TYPE</t>
    </r>
    <r>
      <rPr>
        <b/>
        <sz val="10"/>
        <rFont val="Verdana"/>
        <family val="2"/>
      </rPr>
      <t xml:space="preserve"> -</t>
    </r>
  </si>
  <si>
    <t xml:space="preserve"> 70 Sqmm.</t>
  </si>
  <si>
    <t>DELETE</t>
  </si>
  <si>
    <r>
      <rPr>
        <b/>
        <u/>
        <sz val="10"/>
        <rFont val="Verdana"/>
        <family val="2"/>
      </rPr>
      <t>INDOOR TYPE 33 kV METERING CUBICAL CT-PT UNITS</t>
    </r>
    <r>
      <rPr>
        <b/>
        <sz val="10"/>
        <rFont val="Verdana"/>
        <family val="2"/>
      </rPr>
      <t xml:space="preserve"> : -</t>
    </r>
  </si>
  <si>
    <t>NEW BIN CODE ALLOTED</t>
  </si>
  <si>
    <t>1089 kVAR, 12.1 kV, 3-phase 50 Hz Outdoor type Capacitor bank having step as 363 kVAR + 726 kVAR 12.1 KV. Bank shall be complete with Capacitor units of 121 kVAR at 6.98 KV, including allied material such as suitable size of Aluminium busbars, Pin / Post insulators, Expulsion fuses, Cable Jointing Kit, Nuts &amp; Bolts etc.</t>
  </si>
  <si>
    <t>1815 kVAR, 12.1 kV, 3-phase 50 Hz Outdoor type Capacitor bank having step as 363 kVAR+726 kVAR+726 kVAR 12.1 kV. Bank shall be complete with capacitor units of 121 kVAR at 6.98 kV including allied materials such as suitable size of aluminium busbars, pin / post insulators, expulsion fuses, cable jointing kit, nuts &amp; bolts etc.</t>
  </si>
  <si>
    <t>Total rate including GST for purpose of estima tion and for drawal from Area store</t>
  </si>
  <si>
    <t xml:space="preserve">315 kVA Copper Wound </t>
  </si>
  <si>
    <t xml:space="preserve">500 kVA Copper Wound </t>
  </si>
  <si>
    <r>
      <rPr>
        <b/>
        <u/>
        <sz val="10"/>
        <rFont val="Verdana"/>
        <family val="2"/>
      </rPr>
      <t>D.O. FUSE UNIT -POLYMER TYPE</t>
    </r>
    <r>
      <rPr>
        <b/>
        <sz val="10"/>
        <rFont val="Verdana"/>
        <family val="2"/>
      </rPr>
      <t xml:space="preserve"> :-</t>
    </r>
  </si>
  <si>
    <t>NEW ITEM ADDED</t>
  </si>
  <si>
    <t>Annexure-3</t>
  </si>
  <si>
    <t>As applicable</t>
  </si>
  <si>
    <t>LED  Lamps with COMPLETE FITTING - 15 W</t>
  </si>
  <si>
    <t>LED  LAMPS WITH COMPLETE FITTING - 20 W</t>
  </si>
  <si>
    <t>T.W. plate 300x300x25 mm with 20 mm dia holes at the corners and coated with two coats of varnish on one side / SMC board</t>
  </si>
  <si>
    <t>CRIMPING TOOL</t>
  </si>
  <si>
    <r>
      <rPr>
        <b/>
        <u/>
        <sz val="10"/>
        <rFont val="Verdana"/>
        <family val="2"/>
      </rPr>
      <t>PCC POLES</t>
    </r>
    <r>
      <rPr>
        <b/>
        <sz val="10"/>
        <rFont val="Verdana"/>
        <family val="2"/>
      </rPr>
      <t xml:space="preserve"> : -</t>
    </r>
  </si>
  <si>
    <t>Transformer Oil Dielectric Breakdown testkit</t>
  </si>
  <si>
    <t>Tong tester Digital (1000 A, 500 V) with associated accessories</t>
  </si>
  <si>
    <t>Earth resistance tester (20/200/2000 Ω) Digital</t>
  </si>
  <si>
    <t>&amp;</t>
  </si>
  <si>
    <t xml:space="preserve">LT A.B. XLPE Cable </t>
  </si>
  <si>
    <r>
      <t xml:space="preserve">PORCELAIN KIT-KAT FUSE UNITS </t>
    </r>
    <r>
      <rPr>
        <b/>
        <sz val="10"/>
        <rFont val="Verdana"/>
        <family val="2"/>
      </rPr>
      <t>: -</t>
    </r>
  </si>
  <si>
    <t>35 x 35 x 5 mm</t>
  </si>
  <si>
    <t>SMC Meter Board 350x200x40 mm (minimum) thickness 2.5 mm</t>
  </si>
  <si>
    <t>SMC Board 200x150x40 mm (minimum) thickness 2.5 mm</t>
  </si>
  <si>
    <t>Piano type ISI mark 250V/5A switch.</t>
  </si>
  <si>
    <t>250V/5A ISI mark 3 pin Socket</t>
  </si>
  <si>
    <t>250V/5A ISI mark holder.</t>
  </si>
  <si>
    <t>Earthing terminal (having suitable size of 10 mm Dia GI bolt with 3 nos.
 nuts &amp; washers) along with Staples/ Nut-Bolts/ Nails</t>
  </si>
  <si>
    <t>Feet</t>
  </si>
  <si>
    <t>Earler Bin Code-7130640030</t>
  </si>
  <si>
    <t>Earler Bin Code-7130640037</t>
  </si>
  <si>
    <t>M.S.Strip 25x3 mm (0.6 kg/Mtr.)</t>
  </si>
  <si>
    <t>Old Bin Code was -7130310660</t>
  </si>
  <si>
    <t>Locally fabricated - 3 Phase fuse units 150 Amps. (Robust fuse for circuit base).</t>
  </si>
  <si>
    <t>Bin Code changed, earlier Bin Code - 7131900005</t>
  </si>
  <si>
    <t>70 Sq.mm.</t>
  </si>
  <si>
    <t>95 Sq.mm.</t>
  </si>
  <si>
    <t>150 Sq.mm.</t>
  </si>
  <si>
    <t>300 Sq.mm.</t>
  </si>
  <si>
    <t>400 Sq.mm.</t>
  </si>
  <si>
    <t>25 mm Dia PVC pipe or equivalent for internal house wiring (3 Mtr)</t>
  </si>
  <si>
    <t>Internal wiring using 1.5 sqmm copper multistrands PVC insulated ISI marked cable (Average cable length 6 Mtr.)</t>
  </si>
  <si>
    <t>LED 9 Watt lamp (without holder)</t>
  </si>
  <si>
    <t>Cement (in 50 kg bags)</t>
  </si>
  <si>
    <t>Unit-earlier sq. mtr.</t>
  </si>
  <si>
    <t>18 W LED Street Light complete set</t>
  </si>
  <si>
    <t>35 W LED Street Light complete set</t>
  </si>
  <si>
    <t>70 W LED Street Light complete set</t>
  </si>
  <si>
    <t>110 W LED Street Light complete set</t>
  </si>
  <si>
    <t>190 W LED Street Light complete set</t>
  </si>
  <si>
    <t>190 W LED Flood Light complete set</t>
  </si>
  <si>
    <t>110 W LED Flood Light complete set</t>
  </si>
  <si>
    <t>LED Tube Light, 20 Watt</t>
  </si>
  <si>
    <t xml:space="preserve">NEW ITEM INTRODUCED. </t>
  </si>
  <si>
    <t>Bhatta brick</t>
  </si>
  <si>
    <t>Marshelling Box (with 10 No. connectors)</t>
  </si>
  <si>
    <t>RCC Pipe Type NP-3 (2.5 mtr long) on first class bedding</t>
  </si>
  <si>
    <t>BIN CODE CHANGED.Earlier Bin Code was- 7130820011</t>
  </si>
  <si>
    <t>33 kV XLPE UG Cable</t>
  </si>
  <si>
    <t>Straight through heat shrinkable cable jointing kit with lugs for 3 core 120-240 sq mm XLPE cable</t>
  </si>
  <si>
    <t>Straight through heat shrinkable cable jointing kit with lugs for 3 core 300-400 sq mm XLPE cable</t>
  </si>
  <si>
    <t>3x50 Sq.mm</t>
  </si>
  <si>
    <r>
      <t>Heat Shrinkable type straight through jointing kit for XLPE cable</t>
    </r>
    <r>
      <rPr>
        <b/>
        <sz val="10"/>
        <rFont val="Verdana"/>
        <family val="2"/>
      </rPr>
      <t xml:space="preserve"> --</t>
    </r>
  </si>
  <si>
    <r>
      <t>Heat Shrinkable outdoor type cable termination kit for XLPE cable</t>
    </r>
    <r>
      <rPr>
        <b/>
        <sz val="10"/>
        <rFont val="Verdana"/>
        <family val="2"/>
      </rPr>
      <t xml:space="preserve"> --</t>
    </r>
  </si>
  <si>
    <r>
      <t>SINGLE CORE ARMOURED CABLE</t>
    </r>
    <r>
      <rPr>
        <b/>
        <sz val="10"/>
        <rFont val="Verdana"/>
        <family val="2"/>
      </rPr>
      <t xml:space="preserve"> :-</t>
    </r>
  </si>
  <si>
    <t>LIST OF MISCELLANEOUS ITEMS FOR SoR OF 2018-19</t>
  </si>
  <si>
    <t>Rate for 2018-19</t>
  </si>
  <si>
    <t xml:space="preserve"> Rate for 2018-19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</si>
</sst>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0.0000"/>
    <numFmt numFmtId="165" formatCode="0;[Red]0"/>
    <numFmt numFmtId="166" formatCode="0.00;[Red]0.00"/>
  </numFmts>
  <fonts count="36"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b/>
      <sz val="10"/>
      <name val="Verdana"/>
      <family val="2"/>
    </font>
    <font>
      <b/>
      <sz val="10"/>
      <name val="Arial"/>
      <family val="2"/>
    </font>
    <font>
      <b/>
      <u/>
      <sz val="10"/>
      <name val="Verdana"/>
      <family val="2"/>
    </font>
    <font>
      <u/>
      <sz val="10"/>
      <name val="Verdana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Times New Roman"/>
      <family val="1"/>
    </font>
    <font>
      <b/>
      <sz val="11"/>
      <name val="Arial"/>
      <family val="2"/>
    </font>
    <font>
      <b/>
      <sz val="9"/>
      <name val="Verdana"/>
      <family val="2"/>
    </font>
    <font>
      <sz val="10"/>
      <color indexed="9"/>
      <name val="Arial"/>
      <family val="2"/>
    </font>
    <font>
      <b/>
      <sz val="10.5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u/>
      <sz val="9"/>
      <name val="Verdana"/>
      <family val="2"/>
    </font>
    <font>
      <sz val="9"/>
      <name val="Verdana"/>
      <family val="2"/>
    </font>
    <font>
      <sz val="8"/>
      <name val="Verdana"/>
      <family val="2"/>
    </font>
    <font>
      <b/>
      <sz val="10"/>
      <color indexed="8"/>
      <name val="Verdana"/>
      <family val="2"/>
    </font>
    <font>
      <vertAlign val="subscript"/>
      <sz val="10"/>
      <name val="Verdana"/>
      <family val="2"/>
    </font>
    <font>
      <b/>
      <sz val="10"/>
      <color indexed="10"/>
      <name val="Verdana"/>
      <family val="2"/>
    </font>
    <font>
      <b/>
      <u/>
      <sz val="14"/>
      <name val="Arial"/>
      <family val="2"/>
    </font>
    <font>
      <b/>
      <u/>
      <sz val="12"/>
      <name val="Arial"/>
      <family val="2"/>
    </font>
    <font>
      <sz val="10"/>
      <color theme="0"/>
      <name val="Verdana"/>
      <family val="2"/>
    </font>
    <font>
      <sz val="10"/>
      <color theme="0"/>
      <name val="Arial"/>
      <family val="2"/>
    </font>
    <font>
      <sz val="10"/>
      <color rgb="FFFF0000"/>
      <name val="Verdana"/>
      <family val="2"/>
    </font>
    <font>
      <sz val="10"/>
      <color theme="1"/>
      <name val="Verdana"/>
      <family val="2"/>
    </font>
    <font>
      <sz val="10"/>
      <name val="Arial"/>
      <family val="2"/>
    </font>
    <font>
      <sz val="10"/>
      <name val="Kruti Dev 010"/>
    </font>
    <font>
      <b/>
      <sz val="7"/>
      <name val="Arial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27E5F9"/>
        <bgColor indexed="64"/>
      </patternFill>
    </fill>
    <fill>
      <patternFill patternType="solid">
        <fgColor rgb="FF00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3">
    <xf numFmtId="0" fontId="0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2" fillId="0" borderId="0"/>
    <xf numFmtId="0" fontId="2" fillId="0" borderId="0" applyFont="0" applyFill="0" applyBorder="0" applyAlignment="0" applyProtection="0"/>
    <xf numFmtId="0" fontId="2" fillId="0" borderId="0"/>
    <xf numFmtId="0" fontId="32" fillId="0" borderId="0"/>
    <xf numFmtId="43" fontId="35" fillId="0" borderId="0" applyFont="0" applyFill="0" applyBorder="0" applyAlignment="0" applyProtection="0"/>
  </cellStyleXfs>
  <cellXfs count="360">
    <xf numFmtId="0" fontId="0" fillId="0" borderId="0" xfId="0"/>
    <xf numFmtId="0" fontId="2" fillId="0" borderId="0" xfId="1" applyFill="1"/>
    <xf numFmtId="0" fontId="1" fillId="0" borderId="0" xfId="1" applyFont="1" applyFill="1" applyBorder="1" applyAlignment="1">
      <alignment vertical="top" wrapText="1"/>
    </xf>
    <xf numFmtId="0" fontId="2" fillId="0" borderId="0" xfId="1" applyFont="1" applyFill="1"/>
    <xf numFmtId="0" fontId="1" fillId="0" borderId="0" xfId="1" applyFont="1" applyFill="1"/>
    <xf numFmtId="0" fontId="1" fillId="0" borderId="0" xfId="1" applyFont="1" applyFill="1" applyAlignment="1">
      <alignment vertical="top"/>
    </xf>
    <xf numFmtId="0" fontId="2" fillId="0" borderId="0" xfId="1" applyFill="1" applyAlignment="1">
      <alignment vertical="center"/>
    </xf>
    <xf numFmtId="0" fontId="1" fillId="0" borderId="0" xfId="1" applyFont="1" applyFill="1" applyAlignment="1">
      <alignment horizontal="center" vertical="center"/>
    </xf>
    <xf numFmtId="0" fontId="12" fillId="0" borderId="0" xfId="1" applyFont="1" applyFill="1" applyBorder="1" applyAlignment="1">
      <alignment vertical="top" wrapText="1"/>
    </xf>
    <xf numFmtId="0" fontId="2" fillId="0" borderId="0" xfId="1" applyFill="1" applyAlignment="1">
      <alignment horizontal="center" vertical="top"/>
    </xf>
    <xf numFmtId="0" fontId="1" fillId="0" borderId="0" xfId="5" applyFont="1" applyFill="1" applyBorder="1" applyAlignment="1">
      <alignment vertical="center"/>
    </xf>
    <xf numFmtId="0" fontId="9" fillId="0" borderId="0" xfId="5" applyFill="1" applyAlignment="1">
      <alignment vertical="center"/>
    </xf>
    <xf numFmtId="0" fontId="18" fillId="0" borderId="0" xfId="5" applyFont="1" applyFill="1" applyBorder="1" applyAlignment="1">
      <alignment vertical="center"/>
    </xf>
    <xf numFmtId="0" fontId="9" fillId="0" borderId="0" xfId="5"/>
    <xf numFmtId="0" fontId="17" fillId="0" borderId="0" xfId="5" applyFont="1" applyFill="1" applyBorder="1" applyAlignment="1">
      <alignment horizontal="center" vertical="center"/>
    </xf>
    <xf numFmtId="0" fontId="1" fillId="0" borderId="0" xfId="5" applyFont="1" applyFill="1" applyBorder="1" applyAlignment="1">
      <alignment horizontal="center" vertical="center"/>
    </xf>
    <xf numFmtId="0" fontId="11" fillId="0" borderId="1" xfId="5" applyFont="1" applyFill="1" applyBorder="1" applyAlignment="1">
      <alignment horizontal="center" vertical="top" wrapText="1"/>
    </xf>
    <xf numFmtId="0" fontId="9" fillId="0" borderId="0" xfId="5" applyFont="1" applyFill="1" applyAlignment="1">
      <alignment vertical="center"/>
    </xf>
    <xf numFmtId="0" fontId="9" fillId="0" borderId="0" xfId="5" applyFill="1" applyBorder="1" applyAlignment="1">
      <alignment vertical="center"/>
    </xf>
    <xf numFmtId="1" fontId="1" fillId="0" borderId="0" xfId="5" applyNumberFormat="1" applyFont="1" applyFill="1" applyBorder="1" applyAlignment="1">
      <alignment horizontal="center" vertical="center"/>
    </xf>
    <xf numFmtId="0" fontId="19" fillId="0" borderId="0" xfId="5" applyFont="1" applyFill="1" applyBorder="1" applyAlignment="1">
      <alignment vertical="center"/>
    </xf>
    <xf numFmtId="0" fontId="11" fillId="0" borderId="1" xfId="5" applyFont="1" applyFill="1" applyBorder="1" applyAlignment="1">
      <alignment horizontal="center" vertical="top" wrapText="1"/>
    </xf>
    <xf numFmtId="0" fontId="4" fillId="0" borderId="0" xfId="5" applyFont="1" applyFill="1" applyAlignment="1">
      <alignment vertical="center"/>
    </xf>
    <xf numFmtId="0" fontId="9" fillId="0" borderId="0" xfId="5" applyFill="1"/>
    <xf numFmtId="0" fontId="7" fillId="0" borderId="0" xfId="5" applyFont="1" applyFill="1" applyBorder="1" applyAlignment="1">
      <alignment vertical="center" wrapText="1"/>
    </xf>
    <xf numFmtId="0" fontId="7" fillId="0" borderId="0" xfId="5" applyFont="1" applyFill="1" applyBorder="1" applyAlignment="1">
      <alignment horizontal="center" vertical="center"/>
    </xf>
    <xf numFmtId="0" fontId="9" fillId="0" borderId="0" xfId="5" applyFont="1" applyFill="1" applyBorder="1" applyAlignment="1">
      <alignment horizontal="center" vertical="center"/>
    </xf>
    <xf numFmtId="2" fontId="1" fillId="0" borderId="0" xfId="5" applyNumberFormat="1" applyFont="1" applyFill="1" applyBorder="1" applyAlignment="1">
      <alignment horizontal="center" vertical="center" wrapText="1"/>
    </xf>
    <xf numFmtId="0" fontId="9" fillId="0" borderId="0" xfId="5" applyFill="1" applyAlignment="1">
      <alignment horizontal="left" vertical="center"/>
    </xf>
    <xf numFmtId="0" fontId="1" fillId="0" borderId="0" xfId="5" applyFont="1" applyFill="1" applyBorder="1" applyAlignment="1">
      <alignment vertical="center" wrapText="1"/>
    </xf>
    <xf numFmtId="0" fontId="1" fillId="0" borderId="0" xfId="5" applyFont="1" applyFill="1" applyBorder="1" applyAlignment="1">
      <alignment horizontal="center" vertical="center" wrapText="1"/>
    </xf>
    <xf numFmtId="0" fontId="13" fillId="0" borderId="0" xfId="5" applyFont="1" applyFill="1" applyAlignment="1">
      <alignment horizontal="left" vertical="center"/>
    </xf>
    <xf numFmtId="0" fontId="9" fillId="2" borderId="0" xfId="5" applyFill="1"/>
    <xf numFmtId="9" fontId="1" fillId="2" borderId="1" xfId="5" applyNumberFormat="1" applyFont="1" applyFill="1" applyBorder="1" applyAlignment="1">
      <alignment horizontal="center" vertical="top"/>
    </xf>
    <xf numFmtId="0" fontId="9" fillId="0" borderId="0" xfId="5" applyAlignment="1">
      <alignment vertical="center" wrapText="1"/>
    </xf>
    <xf numFmtId="0" fontId="21" fillId="0" borderId="0" xfId="1" applyFont="1" applyFill="1" applyBorder="1" applyAlignment="1">
      <alignment vertical="top" wrapText="1"/>
    </xf>
    <xf numFmtId="0" fontId="9" fillId="0" borderId="0" xfId="5" applyAlignment="1">
      <alignment horizontal="left"/>
    </xf>
    <xf numFmtId="0" fontId="9" fillId="3" borderId="0" xfId="5" applyFill="1"/>
    <xf numFmtId="0" fontId="11" fillId="0" borderId="1" xfId="5" applyFont="1" applyFill="1" applyBorder="1" applyAlignment="1">
      <alignment horizontal="center" vertical="top" wrapText="1"/>
    </xf>
    <xf numFmtId="0" fontId="14" fillId="0" borderId="4" xfId="5" applyFont="1" applyFill="1" applyBorder="1" applyAlignment="1">
      <alignment horizontal="center" vertical="top" wrapText="1"/>
    </xf>
    <xf numFmtId="0" fontId="9" fillId="0" borderId="0" xfId="5" applyFill="1" applyAlignment="1">
      <alignment horizontal="right"/>
    </xf>
    <xf numFmtId="0" fontId="1" fillId="0" borderId="0" xfId="1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center" vertical="center"/>
    </xf>
    <xf numFmtId="0" fontId="2" fillId="0" borderId="0" xfId="1" applyFill="1" applyAlignment="1">
      <alignment horizontal="left" vertical="center"/>
    </xf>
    <xf numFmtId="0" fontId="14" fillId="0" borderId="11" xfId="5" applyFont="1" applyFill="1" applyBorder="1" applyAlignment="1">
      <alignment horizontal="center" vertical="center"/>
    </xf>
    <xf numFmtId="0" fontId="14" fillId="0" borderId="4" xfId="5" applyFont="1" applyFill="1" applyBorder="1" applyAlignment="1">
      <alignment horizontal="center" vertical="center" wrapText="1"/>
    </xf>
    <xf numFmtId="0" fontId="14" fillId="0" borderId="4" xfId="5" applyFont="1" applyFill="1" applyBorder="1" applyAlignment="1">
      <alignment horizontal="center" vertical="top" wrapText="1"/>
    </xf>
    <xf numFmtId="0" fontId="2" fillId="0" borderId="0" xfId="1" applyFill="1" applyAlignment="1">
      <alignment vertical="top"/>
    </xf>
    <xf numFmtId="0" fontId="2" fillId="4" borderId="0" xfId="1" applyFill="1" applyAlignment="1">
      <alignment vertical="center"/>
    </xf>
    <xf numFmtId="0" fontId="11" fillId="4" borderId="0" xfId="1" applyFont="1" applyFill="1" applyAlignment="1">
      <alignment vertical="top"/>
    </xf>
    <xf numFmtId="0" fontId="2" fillId="5" borderId="0" xfId="1" applyFill="1" applyAlignment="1">
      <alignment vertical="center"/>
    </xf>
    <xf numFmtId="1" fontId="1" fillId="0" borderId="1" xfId="1" applyNumberFormat="1" applyFont="1" applyFill="1" applyBorder="1" applyAlignment="1">
      <alignment horizontal="center" vertical="top"/>
    </xf>
    <xf numFmtId="0" fontId="11" fillId="4" borderId="0" xfId="5" applyFont="1" applyFill="1" applyAlignment="1">
      <alignment vertical="center"/>
    </xf>
    <xf numFmtId="0" fontId="9" fillId="4" borderId="0" xfId="5" applyFill="1" applyAlignment="1">
      <alignment vertical="center"/>
    </xf>
    <xf numFmtId="0" fontId="11" fillId="4" borderId="0" xfId="1" applyFont="1" applyFill="1" applyAlignment="1">
      <alignment vertical="center"/>
    </xf>
    <xf numFmtId="0" fontId="11" fillId="0" borderId="4" xfId="5" applyFont="1" applyFill="1" applyBorder="1" applyAlignment="1">
      <alignment horizontal="center" vertical="top" wrapText="1"/>
    </xf>
    <xf numFmtId="0" fontId="4" fillId="0" borderId="1" xfId="5" applyFont="1" applyFill="1" applyBorder="1" applyAlignment="1">
      <alignment horizontal="center" vertical="top" wrapText="1"/>
    </xf>
    <xf numFmtId="0" fontId="4" fillId="2" borderId="0" xfId="5" applyFont="1" applyFill="1" applyAlignment="1">
      <alignment vertical="top" wrapText="1"/>
    </xf>
    <xf numFmtId="0" fontId="9" fillId="4" borderId="0" xfId="5" applyFill="1"/>
    <xf numFmtId="0" fontId="3" fillId="4" borderId="0" xfId="1" applyFont="1" applyFill="1" applyBorder="1" applyAlignment="1">
      <alignment vertical="top" wrapText="1"/>
    </xf>
    <xf numFmtId="0" fontId="1" fillId="0" borderId="1" xfId="1" applyFont="1" applyFill="1" applyBorder="1"/>
    <xf numFmtId="0" fontId="4" fillId="4" borderId="0" xfId="1" applyFont="1" applyFill="1" applyAlignment="1">
      <alignment vertical="top"/>
    </xf>
    <xf numFmtId="0" fontId="4" fillId="4" borderId="0" xfId="5" applyFont="1" applyFill="1" applyAlignment="1">
      <alignment vertical="top"/>
    </xf>
    <xf numFmtId="0" fontId="4" fillId="4" borderId="0" xfId="5" applyFont="1" applyFill="1"/>
    <xf numFmtId="0" fontId="9" fillId="6" borderId="0" xfId="5" applyFill="1"/>
    <xf numFmtId="0" fontId="4" fillId="6" borderId="0" xfId="5" applyFont="1" applyFill="1" applyAlignment="1">
      <alignment vertical="top"/>
    </xf>
    <xf numFmtId="0" fontId="2" fillId="2" borderId="0" xfId="5" applyFont="1" applyFill="1" applyAlignment="1">
      <alignment vertical="top" wrapText="1"/>
    </xf>
    <xf numFmtId="0" fontId="2" fillId="2" borderId="0" xfId="5" applyFont="1" applyFill="1" applyAlignment="1">
      <alignment horizontal="left" vertical="top" wrapText="1"/>
    </xf>
    <xf numFmtId="0" fontId="34" fillId="2" borderId="0" xfId="5" applyFont="1" applyFill="1" applyAlignment="1">
      <alignment vertical="center" wrapText="1"/>
    </xf>
    <xf numFmtId="0" fontId="11" fillId="0" borderId="1" xfId="5" applyFont="1" applyFill="1" applyBorder="1" applyAlignment="1">
      <alignment horizontal="center" vertical="top" wrapText="1"/>
    </xf>
    <xf numFmtId="0" fontId="1" fillId="0" borderId="0" xfId="1" applyFont="1" applyFill="1" applyBorder="1"/>
    <xf numFmtId="0" fontId="17" fillId="0" borderId="0" xfId="5" applyFont="1" applyFill="1" applyBorder="1" applyAlignment="1">
      <alignment vertical="center"/>
    </xf>
    <xf numFmtId="0" fontId="2" fillId="4" borderId="0" xfId="1" applyFont="1" applyFill="1" applyAlignment="1">
      <alignment vertical="top"/>
    </xf>
    <xf numFmtId="0" fontId="9" fillId="3" borderId="0" xfId="5" applyFill="1" applyAlignment="1">
      <alignment vertical="center"/>
    </xf>
    <xf numFmtId="0" fontId="11" fillId="3" borderId="1" xfId="5" applyFont="1" applyFill="1" applyBorder="1" applyAlignment="1">
      <alignment horizontal="center" vertical="top" wrapText="1"/>
    </xf>
    <xf numFmtId="0" fontId="3" fillId="3" borderId="1" xfId="5" applyFont="1" applyFill="1" applyBorder="1" applyAlignment="1">
      <alignment horizontal="center" vertical="top"/>
    </xf>
    <xf numFmtId="0" fontId="5" fillId="3" borderId="1" xfId="5" applyFont="1" applyFill="1" applyBorder="1" applyAlignment="1">
      <alignment horizontal="left" vertical="top" wrapText="1"/>
    </xf>
    <xf numFmtId="0" fontId="20" fillId="3" borderId="1" xfId="5" applyFont="1" applyFill="1" applyBorder="1" applyAlignment="1">
      <alignment horizontal="center" vertical="center" wrapText="1"/>
    </xf>
    <xf numFmtId="0" fontId="3" fillId="3" borderId="1" xfId="5" applyFont="1" applyFill="1" applyBorder="1" applyAlignment="1">
      <alignment vertical="center" wrapText="1"/>
    </xf>
    <xf numFmtId="2" fontId="3" fillId="3" borderId="1" xfId="5" applyNumberFormat="1" applyFont="1" applyFill="1" applyBorder="1" applyAlignment="1">
      <alignment vertical="center" wrapText="1"/>
    </xf>
    <xf numFmtId="2" fontId="12" fillId="3" borderId="1" xfId="5" applyNumberFormat="1" applyFont="1" applyFill="1" applyBorder="1" applyAlignment="1">
      <alignment horizontal="center" vertical="center" wrapText="1"/>
    </xf>
    <xf numFmtId="0" fontId="9" fillId="3" borderId="1" xfId="5" applyFill="1" applyBorder="1" applyAlignment="1">
      <alignment horizontal="left" vertical="center"/>
    </xf>
    <xf numFmtId="0" fontId="1" fillId="3" borderId="1" xfId="5" applyFont="1" applyFill="1" applyBorder="1" applyAlignment="1">
      <alignment horizontal="center" vertical="top" wrapText="1"/>
    </xf>
    <xf numFmtId="0" fontId="1" fillId="3" borderId="1" xfId="5" applyFont="1" applyFill="1" applyBorder="1" applyAlignment="1">
      <alignment vertical="top" wrapText="1"/>
    </xf>
    <xf numFmtId="0" fontId="1" fillId="3" borderId="1" xfId="5" applyFont="1" applyFill="1" applyBorder="1" applyAlignment="1">
      <alignment horizontal="center" vertical="top"/>
    </xf>
    <xf numFmtId="2" fontId="1" fillId="3" borderId="1" xfId="5" applyNumberFormat="1" applyFont="1" applyFill="1" applyBorder="1" applyAlignment="1">
      <alignment horizontal="center" vertical="top"/>
    </xf>
    <xf numFmtId="9" fontId="1" fillId="3" borderId="1" xfId="5" applyNumberFormat="1" applyFont="1" applyFill="1" applyBorder="1" applyAlignment="1">
      <alignment horizontal="center" vertical="top"/>
    </xf>
    <xf numFmtId="2" fontId="1" fillId="3" borderId="1" xfId="5" applyNumberFormat="1" applyFont="1" applyFill="1" applyBorder="1" applyAlignment="1">
      <alignment horizontal="center" vertical="top" wrapText="1"/>
    </xf>
    <xf numFmtId="0" fontId="1" fillId="3" borderId="1" xfId="5" applyFont="1" applyFill="1" applyBorder="1" applyAlignment="1">
      <alignment horizontal="center" vertical="center"/>
    </xf>
    <xf numFmtId="1" fontId="21" fillId="3" borderId="1" xfId="5" applyNumberFormat="1" applyFont="1" applyFill="1" applyBorder="1" applyAlignment="1">
      <alignment horizontal="center" vertical="top"/>
    </xf>
    <xf numFmtId="0" fontId="5" fillId="3" borderId="1" xfId="5" applyFont="1" applyFill="1" applyBorder="1" applyAlignment="1">
      <alignment vertical="top" wrapText="1"/>
    </xf>
    <xf numFmtId="1" fontId="3" fillId="3" borderId="1" xfId="5" applyNumberFormat="1" applyFont="1" applyFill="1" applyBorder="1" applyAlignment="1">
      <alignment horizontal="center" vertical="top" wrapText="1"/>
    </xf>
    <xf numFmtId="0" fontId="9" fillId="3" borderId="0" xfId="5" applyFont="1" applyFill="1" applyAlignment="1">
      <alignment vertical="top"/>
    </xf>
    <xf numFmtId="1" fontId="1" fillId="3" borderId="1" xfId="5" applyNumberFormat="1" applyFont="1" applyFill="1" applyBorder="1" applyAlignment="1">
      <alignment horizontal="center" vertical="top"/>
    </xf>
    <xf numFmtId="0" fontId="1" fillId="3" borderId="1" xfId="5" applyFont="1" applyFill="1" applyBorder="1" applyAlignment="1">
      <alignment horizontal="center" vertical="center" wrapText="1"/>
    </xf>
    <xf numFmtId="0" fontId="5" fillId="3" borderId="1" xfId="5" applyFont="1" applyFill="1" applyBorder="1" applyAlignment="1">
      <alignment vertical="center" wrapText="1"/>
    </xf>
    <xf numFmtId="0" fontId="1" fillId="3" borderId="1" xfId="5" applyNumberFormat="1" applyFont="1" applyFill="1" applyBorder="1" applyAlignment="1">
      <alignment horizontal="center" vertical="top" wrapText="1"/>
    </xf>
    <xf numFmtId="0" fontId="3" fillId="3" borderId="1" xfId="5" applyFont="1" applyFill="1" applyBorder="1" applyAlignment="1">
      <alignment horizontal="center" vertical="center" wrapText="1"/>
    </xf>
    <xf numFmtId="9" fontId="1" fillId="3" borderId="1" xfId="5" applyNumberFormat="1" applyFont="1" applyFill="1" applyBorder="1" applyAlignment="1">
      <alignment horizontal="center" vertical="center"/>
    </xf>
    <xf numFmtId="0" fontId="3" fillId="3" borderId="1" xfId="5" applyFont="1" applyFill="1" applyBorder="1" applyAlignment="1">
      <alignment horizontal="center" vertical="top" wrapText="1"/>
    </xf>
    <xf numFmtId="0" fontId="3" fillId="3" borderId="1" xfId="5" applyFont="1" applyFill="1" applyBorder="1" applyAlignment="1">
      <alignment horizontal="left" vertical="center" wrapText="1"/>
    </xf>
    <xf numFmtId="164" fontId="1" fillId="3" borderId="1" xfId="5" quotePrefix="1" applyNumberFormat="1" applyFont="1" applyFill="1" applyBorder="1" applyAlignment="1">
      <alignment horizontal="center" vertical="top"/>
    </xf>
    <xf numFmtId="0" fontId="3" fillId="3" borderId="1" xfId="5" applyFont="1" applyFill="1" applyBorder="1" applyAlignment="1">
      <alignment vertical="top" wrapText="1"/>
    </xf>
    <xf numFmtId="0" fontId="9" fillId="3" borderId="1" xfId="5" applyFill="1" applyBorder="1" applyAlignment="1">
      <alignment vertical="center"/>
    </xf>
    <xf numFmtId="0" fontId="9" fillId="3" borderId="1" xfId="5" applyFill="1" applyBorder="1" applyAlignment="1"/>
    <xf numFmtId="0" fontId="1" fillId="3" borderId="1" xfId="5" applyFont="1" applyFill="1" applyBorder="1" applyAlignment="1">
      <alignment vertical="center" wrapText="1"/>
    </xf>
    <xf numFmtId="0" fontId="1" fillId="3" borderId="1" xfId="5" applyFont="1" applyFill="1" applyBorder="1" applyAlignment="1">
      <alignment horizontal="left" vertical="top" wrapText="1"/>
    </xf>
    <xf numFmtId="164" fontId="3" fillId="3" borderId="1" xfId="5" applyNumberFormat="1" applyFont="1" applyFill="1" applyBorder="1" applyAlignment="1">
      <alignment vertical="top" wrapText="1"/>
    </xf>
    <xf numFmtId="2" fontId="3" fillId="3" borderId="1" xfId="5" applyNumberFormat="1" applyFont="1" applyFill="1" applyBorder="1" applyAlignment="1">
      <alignment vertical="top" wrapText="1"/>
    </xf>
    <xf numFmtId="164" fontId="1" fillId="3" borderId="1" xfId="5" applyNumberFormat="1" applyFont="1" applyFill="1" applyBorder="1" applyAlignment="1">
      <alignment horizontal="center" vertical="top"/>
    </xf>
    <xf numFmtId="164" fontId="1" fillId="3" borderId="1" xfId="5" quotePrefix="1" applyNumberFormat="1" applyFont="1" applyFill="1" applyBorder="1" applyAlignment="1">
      <alignment horizontal="left" vertical="top"/>
    </xf>
    <xf numFmtId="43" fontId="5" fillId="3" borderId="1" xfId="22" applyFont="1" applyFill="1" applyBorder="1" applyAlignment="1">
      <alignment horizontal="left" vertical="top" wrapText="1"/>
    </xf>
    <xf numFmtId="0" fontId="12" fillId="3" borderId="13" xfId="1" applyFont="1" applyFill="1" applyBorder="1" applyAlignment="1">
      <alignment vertical="top" wrapText="1"/>
    </xf>
    <xf numFmtId="0" fontId="1" fillId="3" borderId="1" xfId="5" applyFont="1" applyFill="1" applyBorder="1" applyAlignment="1">
      <alignment horizontal="left" vertical="center" wrapText="1"/>
    </xf>
    <xf numFmtId="0" fontId="9" fillId="3" borderId="0" xfId="5" applyFont="1" applyFill="1" applyAlignment="1">
      <alignment vertical="center"/>
    </xf>
    <xf numFmtId="9" fontId="1" fillId="3" borderId="1" xfId="5" applyNumberFormat="1" applyFont="1" applyFill="1" applyBorder="1" applyAlignment="1">
      <alignment horizontal="center" vertical="top" wrapText="1"/>
    </xf>
    <xf numFmtId="0" fontId="3" fillId="3" borderId="13" xfId="1" applyFont="1" applyFill="1" applyBorder="1" applyAlignment="1">
      <alignment vertical="top" wrapText="1"/>
    </xf>
    <xf numFmtId="0" fontId="3" fillId="3" borderId="1" xfId="5" applyFont="1" applyFill="1" applyBorder="1" applyAlignment="1">
      <alignment horizontal="left" vertical="top" wrapText="1"/>
    </xf>
    <xf numFmtId="0" fontId="6" fillId="3" borderId="1" xfId="5" applyFont="1" applyFill="1" applyBorder="1" applyAlignment="1">
      <alignment vertical="center" wrapText="1"/>
    </xf>
    <xf numFmtId="0" fontId="9" fillId="3" borderId="0" xfId="5" applyFill="1" applyAlignment="1">
      <alignment horizontal="left" vertical="center"/>
    </xf>
    <xf numFmtId="0" fontId="1" fillId="3" borderId="1" xfId="5" applyFont="1" applyFill="1" applyBorder="1" applyAlignment="1">
      <alignment vertical="center"/>
    </xf>
    <xf numFmtId="1" fontId="1" fillId="3" borderId="1" xfId="5" applyNumberFormat="1" applyFont="1" applyFill="1" applyBorder="1" applyAlignment="1">
      <alignment horizontal="center" vertical="center" wrapText="1"/>
    </xf>
    <xf numFmtId="0" fontId="1" fillId="3" borderId="1" xfId="5" applyNumberFormat="1" applyFont="1" applyFill="1" applyBorder="1" applyAlignment="1">
      <alignment horizontal="center" vertical="center" wrapText="1"/>
    </xf>
    <xf numFmtId="0" fontId="5" fillId="3" borderId="11" xfId="5" applyFont="1" applyFill="1" applyBorder="1" applyAlignment="1">
      <alignment vertical="center" wrapText="1"/>
    </xf>
    <xf numFmtId="0" fontId="5" fillId="3" borderId="4" xfId="5" applyFont="1" applyFill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top"/>
    </xf>
    <xf numFmtId="0" fontId="3" fillId="3" borderId="11" xfId="5" applyFont="1" applyFill="1" applyBorder="1" applyAlignment="1">
      <alignment vertical="center" wrapText="1"/>
    </xf>
    <xf numFmtId="0" fontId="1" fillId="3" borderId="12" xfId="5" applyNumberFormat="1" applyFont="1" applyFill="1" applyBorder="1" applyAlignment="1">
      <alignment horizontal="center" vertical="top" wrapText="1"/>
    </xf>
    <xf numFmtId="0" fontId="5" fillId="3" borderId="12" xfId="5" applyFont="1" applyFill="1" applyBorder="1" applyAlignment="1">
      <alignment vertical="center" wrapText="1"/>
    </xf>
    <xf numFmtId="0" fontId="23" fillId="3" borderId="1" xfId="5" applyFont="1" applyFill="1" applyBorder="1" applyAlignment="1">
      <alignment vertical="top" wrapText="1"/>
    </xf>
    <xf numFmtId="0" fontId="7" fillId="3" borderId="1" xfId="5" applyFont="1" applyFill="1" applyBorder="1" applyAlignment="1">
      <alignment horizontal="center" vertical="center"/>
    </xf>
    <xf numFmtId="0" fontId="9" fillId="3" borderId="1" xfId="5" applyFont="1" applyFill="1" applyBorder="1" applyAlignment="1">
      <alignment horizontal="center" vertical="center"/>
    </xf>
    <xf numFmtId="2" fontId="1" fillId="3" borderId="1" xfId="5" applyNumberFormat="1" applyFont="1" applyFill="1" applyBorder="1" applyAlignment="1">
      <alignment horizontal="center" vertical="center" wrapText="1"/>
    </xf>
    <xf numFmtId="0" fontId="7" fillId="3" borderId="1" xfId="5" applyFont="1" applyFill="1" applyBorder="1" applyAlignment="1">
      <alignment horizontal="center" vertical="top" wrapText="1"/>
    </xf>
    <xf numFmtId="0" fontId="7" fillId="3" borderId="1" xfId="5" applyFont="1" applyFill="1" applyBorder="1" applyAlignment="1">
      <alignment vertical="top" wrapText="1"/>
    </xf>
    <xf numFmtId="0" fontId="1" fillId="3" borderId="1" xfId="1" applyFont="1" applyFill="1" applyBorder="1" applyAlignment="1">
      <alignment horizontal="center" vertical="top" wrapText="1"/>
    </xf>
    <xf numFmtId="0" fontId="5" fillId="3" borderId="10" xfId="1" applyFont="1" applyFill="1" applyBorder="1" applyAlignment="1">
      <alignment vertical="top" wrapText="1"/>
    </xf>
    <xf numFmtId="2" fontId="1" fillId="3" borderId="1" xfId="5" applyNumberFormat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top" wrapText="1"/>
    </xf>
    <xf numFmtId="1" fontId="1" fillId="3" borderId="1" xfId="5" applyNumberFormat="1" applyFont="1" applyFill="1" applyBorder="1" applyAlignment="1">
      <alignment horizontal="center" vertical="center"/>
    </xf>
    <xf numFmtId="1" fontId="1" fillId="3" borderId="1" xfId="5" applyNumberFormat="1" applyFont="1" applyFill="1" applyBorder="1" applyAlignment="1">
      <alignment horizontal="center" vertical="top" wrapText="1"/>
    </xf>
    <xf numFmtId="2" fontId="3" fillId="3" borderId="1" xfId="5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7" xfId="1" applyFont="1" applyFill="1" applyBorder="1" applyAlignment="1">
      <alignment horizontal="center" vertical="top" wrapText="1"/>
    </xf>
    <xf numFmtId="0" fontId="1" fillId="3" borderId="11" xfId="5" applyNumberFormat="1" applyFont="1" applyFill="1" applyBorder="1" applyAlignment="1">
      <alignment horizontal="center" vertical="top" wrapText="1"/>
    </xf>
    <xf numFmtId="0" fontId="1" fillId="3" borderId="1" xfId="5" applyFont="1" applyFill="1" applyBorder="1" applyAlignment="1">
      <alignment vertical="top"/>
    </xf>
    <xf numFmtId="0" fontId="1" fillId="3" borderId="11" xfId="5" applyFont="1" applyFill="1" applyBorder="1" applyAlignment="1">
      <alignment horizontal="center" vertical="top"/>
    </xf>
    <xf numFmtId="0" fontId="5" fillId="3" borderId="1" xfId="5" applyFont="1" applyFill="1" applyBorder="1" applyAlignment="1">
      <alignment vertical="top"/>
    </xf>
    <xf numFmtId="0" fontId="5" fillId="3" borderId="1" xfId="5" applyFont="1" applyFill="1" applyBorder="1" applyAlignment="1">
      <alignment vertical="center"/>
    </xf>
    <xf numFmtId="0" fontId="5" fillId="3" borderId="11" xfId="5" applyFont="1" applyFill="1" applyBorder="1" applyAlignment="1">
      <alignment vertical="center"/>
    </xf>
    <xf numFmtId="0" fontId="3" fillId="3" borderId="1" xfId="5" applyFont="1" applyFill="1" applyBorder="1" applyAlignment="1">
      <alignment horizontal="center" vertical="center"/>
    </xf>
    <xf numFmtId="0" fontId="7" fillId="3" borderId="1" xfId="5" applyFont="1" applyFill="1" applyBorder="1" applyAlignment="1">
      <alignment horizontal="center" vertical="top"/>
    </xf>
    <xf numFmtId="0" fontId="7" fillId="3" borderId="1" xfId="5" applyFont="1" applyFill="1" applyBorder="1" applyAlignment="1">
      <alignment vertical="top"/>
    </xf>
    <xf numFmtId="0" fontId="1" fillId="3" borderId="11" xfId="5" applyFont="1" applyFill="1" applyBorder="1" applyAlignment="1">
      <alignment horizontal="center" vertical="top" wrapText="1"/>
    </xf>
    <xf numFmtId="0" fontId="3" fillId="3" borderId="1" xfId="5" applyFont="1" applyFill="1" applyBorder="1" applyAlignment="1">
      <alignment vertical="center"/>
    </xf>
    <xf numFmtId="0" fontId="3" fillId="3" borderId="11" xfId="5" applyFont="1" applyFill="1" applyBorder="1" applyAlignment="1">
      <alignment vertical="center"/>
    </xf>
    <xf numFmtId="0" fontId="1" fillId="3" borderId="1" xfId="5" applyFont="1" applyFill="1" applyBorder="1" applyAlignment="1">
      <alignment horizontal="left" vertical="top"/>
    </xf>
    <xf numFmtId="0" fontId="9" fillId="3" borderId="11" xfId="5" applyFont="1" applyFill="1" applyBorder="1" applyAlignment="1">
      <alignment vertical="center"/>
    </xf>
    <xf numFmtId="0" fontId="9" fillId="3" borderId="1" xfId="5" applyFont="1" applyFill="1" applyBorder="1" applyAlignment="1">
      <alignment vertical="center"/>
    </xf>
    <xf numFmtId="0" fontId="1" fillId="3" borderId="11" xfId="5" applyFont="1" applyFill="1" applyBorder="1" applyAlignment="1">
      <alignment vertical="center" wrapText="1"/>
    </xf>
    <xf numFmtId="0" fontId="3" fillId="3" borderId="1" xfId="1" applyFont="1" applyFill="1" applyBorder="1" applyAlignment="1">
      <alignment horizontal="center" vertical="top"/>
    </xf>
    <xf numFmtId="0" fontId="1" fillId="3" borderId="11" xfId="5" applyFont="1" applyFill="1" applyBorder="1" applyAlignment="1">
      <alignment horizontal="center" vertical="center"/>
    </xf>
    <xf numFmtId="0" fontId="9" fillId="3" borderId="1" xfId="5" applyFont="1" applyFill="1" applyBorder="1" applyAlignment="1">
      <alignment horizontal="center" vertical="top"/>
    </xf>
    <xf numFmtId="166" fontId="1" fillId="3" borderId="1" xfId="5" applyNumberFormat="1" applyFont="1" applyFill="1" applyBorder="1" applyAlignment="1">
      <alignment horizontal="center" vertical="top"/>
    </xf>
    <xf numFmtId="0" fontId="9" fillId="3" borderId="1" xfId="5" applyFill="1" applyBorder="1" applyAlignment="1">
      <alignment vertical="top"/>
    </xf>
    <xf numFmtId="0" fontId="5" fillId="3" borderId="1" xfId="1" applyFont="1" applyFill="1" applyBorder="1" applyAlignment="1">
      <alignment horizontal="left" vertical="top" wrapText="1"/>
    </xf>
    <xf numFmtId="0" fontId="5" fillId="3" borderId="1" xfId="1" applyFont="1" applyFill="1" applyBorder="1" applyAlignment="1">
      <alignment vertical="top" wrapText="1"/>
    </xf>
    <xf numFmtId="0" fontId="1" fillId="3" borderId="11" xfId="5" applyFont="1" applyFill="1" applyBorder="1" applyAlignment="1">
      <alignment horizontal="center" vertical="center" wrapText="1"/>
    </xf>
    <xf numFmtId="165" fontId="1" fillId="3" borderId="1" xfId="5" applyNumberFormat="1" applyFont="1" applyFill="1" applyBorder="1" applyAlignment="1">
      <alignment horizontal="center" vertical="center"/>
    </xf>
    <xf numFmtId="0" fontId="9" fillId="3" borderId="1" xfId="5" applyFill="1" applyBorder="1" applyAlignment="1">
      <alignment vertical="center" wrapText="1"/>
    </xf>
    <xf numFmtId="0" fontId="1" fillId="3" borderId="2" xfId="5" applyFont="1" applyFill="1" applyBorder="1" applyAlignment="1">
      <alignment horizontal="center" vertical="top" wrapText="1"/>
    </xf>
    <xf numFmtId="0" fontId="3" fillId="3" borderId="1" xfId="1" applyFont="1" applyFill="1" applyBorder="1" applyAlignment="1">
      <alignment horizontal="left" vertical="top" wrapText="1"/>
    </xf>
    <xf numFmtId="2" fontId="1" fillId="3" borderId="1" xfId="1" applyNumberFormat="1" applyFont="1" applyFill="1" applyBorder="1" applyAlignment="1">
      <alignment horizontal="center" vertical="top" wrapText="1"/>
    </xf>
    <xf numFmtId="0" fontId="1" fillId="3" borderId="1" xfId="1" applyFont="1" applyFill="1" applyBorder="1" applyAlignment="1">
      <alignment horizontal="center" vertical="top"/>
    </xf>
    <xf numFmtId="0" fontId="1" fillId="3" borderId="1" xfId="5" applyNumberFormat="1" applyFont="1" applyFill="1" applyBorder="1" applyAlignment="1">
      <alignment horizontal="center" vertical="top"/>
    </xf>
    <xf numFmtId="0" fontId="7" fillId="3" borderId="1" xfId="5" applyFont="1" applyFill="1" applyBorder="1" applyAlignment="1">
      <alignment horizontal="left" vertical="top" wrapText="1"/>
    </xf>
    <xf numFmtId="0" fontId="23" fillId="3" borderId="1" xfId="5" applyFont="1" applyFill="1" applyBorder="1" applyAlignment="1">
      <alignment vertical="center" wrapText="1"/>
    </xf>
    <xf numFmtId="0" fontId="1" fillId="3" borderId="0" xfId="5" applyFont="1" applyFill="1" applyAlignment="1">
      <alignment vertical="center"/>
    </xf>
    <xf numFmtId="0" fontId="9" fillId="3" borderId="1" xfId="5" applyFill="1" applyBorder="1"/>
    <xf numFmtId="2" fontId="9" fillId="3" borderId="0" xfId="5" applyNumberFormat="1" applyFill="1" applyAlignment="1">
      <alignment horizontal="center" vertical="top"/>
    </xf>
    <xf numFmtId="10" fontId="1" fillId="3" borderId="1" xfId="5" applyNumberFormat="1" applyFont="1" applyFill="1" applyBorder="1" applyAlignment="1">
      <alignment horizontal="center" vertical="center"/>
    </xf>
    <xf numFmtId="0" fontId="9" fillId="3" borderId="0" xfId="5" applyFill="1" applyAlignment="1">
      <alignment horizontal="center" vertical="center"/>
    </xf>
    <xf numFmtId="0" fontId="9" fillId="3" borderId="0" xfId="5" applyFill="1" applyAlignment="1">
      <alignment horizontal="center" vertical="top"/>
    </xf>
    <xf numFmtId="0" fontId="21" fillId="3" borderId="0" xfId="1" applyFont="1" applyFill="1" applyBorder="1" applyAlignment="1">
      <alignment vertical="top" wrapText="1"/>
    </xf>
    <xf numFmtId="0" fontId="21" fillId="3" borderId="0" xfId="1" applyFont="1" applyFill="1" applyBorder="1" applyAlignment="1">
      <alignment horizontal="left" vertical="top" wrapText="1"/>
    </xf>
    <xf numFmtId="0" fontId="1" fillId="3" borderId="0" xfId="1" applyFont="1" applyFill="1" applyBorder="1" applyAlignment="1">
      <alignment horizontal="center" vertical="top" wrapText="1"/>
    </xf>
    <xf numFmtId="0" fontId="21" fillId="3" borderId="13" xfId="1" applyFont="1" applyFill="1" applyBorder="1" applyAlignment="1">
      <alignment vertical="top" wrapText="1"/>
    </xf>
    <xf numFmtId="0" fontId="9" fillId="3" borderId="0" xfId="5" applyFill="1" applyAlignment="1">
      <alignment vertical="center" wrapText="1"/>
    </xf>
    <xf numFmtId="0" fontId="1" fillId="3" borderId="0" xfId="5" applyFont="1" applyFill="1" applyAlignment="1">
      <alignment horizontal="left" vertical="top"/>
    </xf>
    <xf numFmtId="0" fontId="1" fillId="3" borderId="0" xfId="5" applyFont="1" applyFill="1" applyBorder="1" applyAlignment="1">
      <alignment horizontal="center" vertical="top"/>
    </xf>
    <xf numFmtId="0" fontId="9" fillId="3" borderId="0" xfId="5" applyFill="1" applyAlignment="1">
      <alignment horizontal="left" vertical="top"/>
    </xf>
    <xf numFmtId="0" fontId="30" fillId="3" borderId="0" xfId="5" applyFont="1" applyFill="1" applyBorder="1" applyAlignment="1">
      <alignment horizontal="left" vertical="top" wrapText="1"/>
    </xf>
    <xf numFmtId="0" fontId="5" fillId="3" borderId="7" xfId="5" applyFont="1" applyFill="1" applyBorder="1" applyAlignment="1">
      <alignment vertical="center" wrapText="1"/>
    </xf>
    <xf numFmtId="0" fontId="3" fillId="3" borderId="4" xfId="5" applyFont="1" applyFill="1" applyBorder="1" applyAlignment="1">
      <alignment vertical="center" wrapText="1"/>
    </xf>
    <xf numFmtId="10" fontId="1" fillId="3" borderId="7" xfId="5" applyNumberFormat="1" applyFont="1" applyFill="1" applyBorder="1" applyAlignment="1">
      <alignment horizontal="center" vertical="center"/>
    </xf>
    <xf numFmtId="0" fontId="28" fillId="3" borderId="0" xfId="1" applyFont="1" applyFill="1" applyBorder="1" applyAlignment="1">
      <alignment vertical="center" wrapText="1"/>
    </xf>
    <xf numFmtId="0" fontId="29" fillId="3" borderId="0" xfId="5" applyFont="1" applyFill="1"/>
    <xf numFmtId="0" fontId="9" fillId="3" borderId="0" xfId="5" applyFill="1" applyAlignment="1">
      <alignment horizontal="center"/>
    </xf>
    <xf numFmtId="0" fontId="4" fillId="7" borderId="0" xfId="5" applyFont="1" applyFill="1" applyAlignment="1">
      <alignment vertical="top"/>
    </xf>
    <xf numFmtId="0" fontId="9" fillId="7" borderId="0" xfId="5" applyFill="1"/>
    <xf numFmtId="0" fontId="1" fillId="0" borderId="10" xfId="1" applyFont="1" applyFill="1" applyBorder="1" applyAlignment="1">
      <alignment horizontal="center" vertical="top" wrapText="1"/>
    </xf>
    <xf numFmtId="0" fontId="3" fillId="0" borderId="10" xfId="1" applyFont="1" applyFill="1" applyBorder="1" applyAlignment="1">
      <alignment vertical="top" wrapText="1"/>
    </xf>
    <xf numFmtId="0" fontId="5" fillId="0" borderId="12" xfId="1" applyFont="1" applyFill="1" applyBorder="1" applyAlignment="1">
      <alignment vertical="top" wrapText="1"/>
    </xf>
    <xf numFmtId="0" fontId="2" fillId="0" borderId="12" xfId="1" applyFill="1" applyBorder="1" applyAlignment="1">
      <alignment vertical="center"/>
    </xf>
    <xf numFmtId="0" fontId="1" fillId="0" borderId="1" xfId="1" applyFont="1" applyFill="1" applyBorder="1" applyAlignment="1">
      <alignment horizontal="center" vertical="top" wrapText="1"/>
    </xf>
    <xf numFmtId="0" fontId="1" fillId="0" borderId="7" xfId="1" applyFont="1" applyFill="1" applyBorder="1" applyAlignment="1">
      <alignment vertical="top" wrapText="1"/>
    </xf>
    <xf numFmtId="0" fontId="1" fillId="0" borderId="7" xfId="1" applyFont="1" applyFill="1" applyBorder="1" applyAlignment="1">
      <alignment horizontal="center" vertical="top" wrapText="1"/>
    </xf>
    <xf numFmtId="0" fontId="1" fillId="0" borderId="7" xfId="1" applyNumberFormat="1" applyFont="1" applyFill="1" applyBorder="1" applyAlignment="1">
      <alignment horizontal="center" vertical="top" wrapText="1"/>
    </xf>
    <xf numFmtId="2" fontId="1" fillId="0" borderId="7" xfId="1" applyNumberFormat="1" applyFont="1" applyFill="1" applyBorder="1" applyAlignment="1">
      <alignment horizontal="center" vertical="top"/>
    </xf>
    <xf numFmtId="2" fontId="1" fillId="0" borderId="7" xfId="19" applyNumberFormat="1" applyFont="1" applyFill="1" applyBorder="1" applyAlignment="1">
      <alignment horizontal="center" vertical="top" wrapText="1"/>
    </xf>
    <xf numFmtId="0" fontId="2" fillId="0" borderId="7" xfId="1" applyFill="1" applyBorder="1" applyAlignment="1">
      <alignment vertical="center"/>
    </xf>
    <xf numFmtId="0" fontId="1" fillId="0" borderId="1" xfId="1" applyFont="1" applyFill="1" applyBorder="1" applyAlignment="1">
      <alignment vertical="top" wrapText="1"/>
    </xf>
    <xf numFmtId="2" fontId="1" fillId="0" borderId="1" xfId="1" applyNumberFormat="1" applyFont="1" applyFill="1" applyBorder="1" applyAlignment="1">
      <alignment horizontal="center" vertical="top"/>
    </xf>
    <xf numFmtId="2" fontId="1" fillId="0" borderId="1" xfId="19" applyNumberFormat="1" applyFont="1" applyFill="1" applyBorder="1" applyAlignment="1">
      <alignment horizontal="center" vertical="top" wrapText="1"/>
    </xf>
    <xf numFmtId="0" fontId="2" fillId="0" borderId="1" xfId="1" applyFill="1" applyBorder="1" applyAlignment="1">
      <alignment vertical="center"/>
    </xf>
    <xf numFmtId="0" fontId="1" fillId="0" borderId="1" xfId="1" applyNumberFormat="1" applyFont="1" applyFill="1" applyBorder="1" applyAlignment="1">
      <alignment horizontal="center" vertical="top" wrapText="1"/>
    </xf>
    <xf numFmtId="2" fontId="33" fillId="0" borderId="1" xfId="1" applyNumberFormat="1" applyFont="1" applyFill="1" applyBorder="1" applyAlignment="1">
      <alignment horizontal="center" vertical="top"/>
    </xf>
    <xf numFmtId="0" fontId="1" fillId="0" borderId="4" xfId="1" applyFont="1" applyFill="1" applyBorder="1" applyAlignment="1">
      <alignment vertical="top" wrapText="1"/>
    </xf>
    <xf numFmtId="0" fontId="1" fillId="0" borderId="4" xfId="1" applyFont="1" applyFill="1" applyBorder="1" applyAlignment="1">
      <alignment horizontal="center" vertical="top" wrapText="1"/>
    </xf>
    <xf numFmtId="0" fontId="1" fillId="0" borderId="4" xfId="1" applyNumberFormat="1" applyFont="1" applyFill="1" applyBorder="1" applyAlignment="1">
      <alignment horizontal="center" vertical="top" wrapText="1"/>
    </xf>
    <xf numFmtId="2" fontId="1" fillId="0" borderId="4" xfId="1" applyNumberFormat="1" applyFont="1" applyFill="1" applyBorder="1" applyAlignment="1">
      <alignment horizontal="center" vertical="top"/>
    </xf>
    <xf numFmtId="2" fontId="1" fillId="0" borderId="4" xfId="19" applyNumberFormat="1" applyFont="1" applyFill="1" applyBorder="1" applyAlignment="1">
      <alignment horizontal="center" vertical="top" wrapText="1"/>
    </xf>
    <xf numFmtId="0" fontId="2" fillId="0" borderId="4" xfId="1" applyFill="1" applyBorder="1" applyAlignment="1">
      <alignment vertical="center"/>
    </xf>
    <xf numFmtId="0" fontId="5" fillId="0" borderId="10" xfId="1" applyFont="1" applyFill="1" applyBorder="1" applyAlignment="1">
      <alignment vertical="top" wrapText="1"/>
    </xf>
    <xf numFmtId="0" fontId="3" fillId="0" borderId="12" xfId="1" applyFont="1" applyFill="1" applyBorder="1" applyAlignment="1">
      <alignment vertical="top" wrapText="1"/>
    </xf>
    <xf numFmtId="1" fontId="1" fillId="0" borderId="12" xfId="1" applyNumberFormat="1" applyFont="1" applyFill="1" applyBorder="1" applyAlignment="1">
      <alignment horizontal="center" vertical="top"/>
    </xf>
    <xf numFmtId="0" fontId="2" fillId="0" borderId="12" xfId="1" applyFill="1" applyBorder="1" applyAlignment="1">
      <alignment vertical="top"/>
    </xf>
    <xf numFmtId="9" fontId="1" fillId="0" borderId="1" xfId="5" applyNumberFormat="1" applyFont="1" applyFill="1" applyBorder="1" applyAlignment="1">
      <alignment horizontal="center" vertical="top"/>
    </xf>
    <xf numFmtId="2" fontId="1" fillId="0" borderId="1" xfId="1" applyNumberFormat="1" applyFont="1" applyFill="1" applyBorder="1" applyAlignment="1">
      <alignment horizontal="center" vertical="top" wrapText="1"/>
    </xf>
    <xf numFmtId="0" fontId="1" fillId="0" borderId="1" xfId="1" applyFont="1" applyFill="1" applyBorder="1" applyAlignment="1">
      <alignment horizontal="left" vertical="top" wrapText="1"/>
    </xf>
    <xf numFmtId="0" fontId="1" fillId="0" borderId="1" xfId="1" applyFont="1" applyFill="1" applyBorder="1" applyAlignment="1">
      <alignment horizontal="center" vertical="top"/>
    </xf>
    <xf numFmtId="2" fontId="1" fillId="0" borderId="4" xfId="1" applyNumberFormat="1" applyFont="1" applyFill="1" applyBorder="1" applyAlignment="1">
      <alignment horizontal="center" vertical="top" wrapText="1"/>
    </xf>
    <xf numFmtId="9" fontId="1" fillId="0" borderId="4" xfId="5" applyNumberFormat="1" applyFont="1" applyFill="1" applyBorder="1" applyAlignment="1">
      <alignment horizontal="center" vertical="top"/>
    </xf>
    <xf numFmtId="2" fontId="1" fillId="0" borderId="12" xfId="1" applyNumberFormat="1" applyFont="1" applyFill="1" applyBorder="1" applyAlignment="1">
      <alignment horizontal="center" vertical="top" wrapText="1"/>
    </xf>
    <xf numFmtId="2" fontId="1" fillId="0" borderId="7" xfId="1" applyNumberFormat="1" applyFont="1" applyFill="1" applyBorder="1" applyAlignment="1">
      <alignment horizontal="center" vertical="top" wrapText="1"/>
    </xf>
    <xf numFmtId="9" fontId="1" fillId="0" borderId="7" xfId="5" applyNumberFormat="1" applyFont="1" applyFill="1" applyBorder="1" applyAlignment="1">
      <alignment horizontal="center" vertical="top"/>
    </xf>
    <xf numFmtId="0" fontId="1" fillId="0" borderId="10" xfId="1" applyFont="1" applyFill="1" applyBorder="1" applyAlignment="1">
      <alignment horizontal="center" vertical="center" wrapText="1"/>
    </xf>
    <xf numFmtId="0" fontId="5" fillId="0" borderId="10" xfId="5" applyFont="1" applyFill="1" applyBorder="1" applyAlignment="1">
      <alignment vertical="top" wrapText="1"/>
    </xf>
    <xf numFmtId="0" fontId="1" fillId="0" borderId="12" xfId="1" applyFont="1" applyFill="1" applyBorder="1" applyAlignment="1">
      <alignment horizontal="center" vertical="center" wrapText="1"/>
    </xf>
    <xf numFmtId="0" fontId="1" fillId="0" borderId="12" xfId="1" applyNumberFormat="1" applyFont="1" applyFill="1" applyBorder="1" applyAlignment="1">
      <alignment horizontal="center" vertical="center" wrapText="1"/>
    </xf>
    <xf numFmtId="1" fontId="1" fillId="0" borderId="12" xfId="1" applyNumberFormat="1" applyFont="1" applyFill="1" applyBorder="1" applyAlignment="1">
      <alignment horizontal="center" vertical="center"/>
    </xf>
    <xf numFmtId="1" fontId="3" fillId="0" borderId="1" xfId="5" applyNumberFormat="1" applyFont="1" applyFill="1" applyBorder="1" applyAlignment="1">
      <alignment horizontal="center" vertical="top" wrapText="1"/>
    </xf>
    <xf numFmtId="2" fontId="1" fillId="0" borderId="1" xfId="5" applyNumberFormat="1" applyFont="1" applyFill="1" applyBorder="1" applyAlignment="1">
      <alignment horizontal="center" vertical="top"/>
    </xf>
    <xf numFmtId="0" fontId="2" fillId="0" borderId="1" xfId="1" applyFont="1" applyFill="1" applyBorder="1" applyAlignment="1">
      <alignment horizontal="center" vertical="top"/>
    </xf>
    <xf numFmtId="0" fontId="1" fillId="0" borderId="4" xfId="1" applyNumberFormat="1" applyFont="1" applyFill="1" applyBorder="1" applyAlignment="1">
      <alignment horizontal="center" vertical="top"/>
    </xf>
    <xf numFmtId="0" fontId="3" fillId="0" borderId="10" xfId="1" applyFont="1" applyFill="1" applyBorder="1" applyAlignment="1">
      <alignment horizontal="center" vertical="top" wrapText="1"/>
    </xf>
    <xf numFmtId="0" fontId="1" fillId="0" borderId="12" xfId="1" applyFont="1" applyFill="1" applyBorder="1" applyAlignment="1">
      <alignment horizontal="center" vertical="top" wrapText="1"/>
    </xf>
    <xf numFmtId="0" fontId="1" fillId="0" borderId="12" xfId="1" applyNumberFormat="1" applyFont="1" applyFill="1" applyBorder="1" applyAlignment="1">
      <alignment horizontal="center" vertical="top"/>
    </xf>
    <xf numFmtId="1" fontId="1" fillId="0" borderId="12" xfId="1" applyNumberFormat="1" applyFont="1" applyFill="1" applyBorder="1" applyAlignment="1">
      <alignment horizontal="center" vertical="top" wrapText="1"/>
    </xf>
    <xf numFmtId="0" fontId="1" fillId="0" borderId="8" xfId="1" applyFont="1" applyFill="1" applyBorder="1" applyAlignment="1">
      <alignment vertical="top" wrapText="1"/>
    </xf>
    <xf numFmtId="0" fontId="1" fillId="0" borderId="9" xfId="1" applyNumberFormat="1" applyFont="1" applyFill="1" applyBorder="1" applyAlignment="1">
      <alignment horizontal="center" vertical="top"/>
    </xf>
    <xf numFmtId="2" fontId="1" fillId="0" borderId="9" xfId="1" applyNumberFormat="1" applyFont="1" applyFill="1" applyBorder="1" applyAlignment="1">
      <alignment horizontal="center" vertical="top" wrapText="1"/>
    </xf>
    <xf numFmtId="1" fontId="3" fillId="0" borderId="7" xfId="5" applyNumberFormat="1" applyFont="1" applyFill="1" applyBorder="1" applyAlignment="1">
      <alignment horizontal="center" vertical="top" wrapText="1"/>
    </xf>
    <xf numFmtId="0" fontId="1" fillId="0" borderId="10" xfId="1" applyFont="1" applyFill="1" applyBorder="1" applyAlignment="1">
      <alignment vertical="top" wrapText="1"/>
    </xf>
    <xf numFmtId="0" fontId="1" fillId="0" borderId="11" xfId="1" applyNumberFormat="1" applyFont="1" applyFill="1" applyBorder="1" applyAlignment="1">
      <alignment horizontal="center" vertical="top"/>
    </xf>
    <xf numFmtId="2" fontId="1" fillId="0" borderId="11" xfId="1" applyNumberFormat="1" applyFont="1" applyFill="1" applyBorder="1" applyAlignment="1">
      <alignment horizontal="center" vertical="top" wrapText="1"/>
    </xf>
    <xf numFmtId="0" fontId="2" fillId="0" borderId="1" xfId="1" applyFill="1" applyBorder="1" applyAlignment="1">
      <alignment vertical="top" wrapText="1"/>
    </xf>
    <xf numFmtId="0" fontId="1" fillId="0" borderId="5" xfId="1" applyFont="1" applyFill="1" applyBorder="1" applyAlignment="1">
      <alignment vertical="top" wrapText="1"/>
    </xf>
    <xf numFmtId="2" fontId="1" fillId="0" borderId="6" xfId="1" applyNumberFormat="1" applyFont="1" applyFill="1" applyBorder="1" applyAlignment="1">
      <alignment horizontal="center" vertical="top" wrapText="1"/>
    </xf>
    <xf numFmtId="0" fontId="1" fillId="0" borderId="1" xfId="1" applyNumberFormat="1" applyFont="1" applyFill="1" applyBorder="1" applyAlignment="1">
      <alignment horizontal="center" vertical="top"/>
    </xf>
    <xf numFmtId="0" fontId="2" fillId="0" borderId="1" xfId="1" applyFont="1" applyFill="1" applyBorder="1"/>
    <xf numFmtId="10" fontId="1" fillId="0" borderId="12" xfId="1" applyNumberFormat="1" applyFont="1" applyFill="1" applyBorder="1" applyAlignment="1">
      <alignment horizontal="center" vertical="top"/>
    </xf>
    <xf numFmtId="0" fontId="2" fillId="0" borderId="7" xfId="1" applyFill="1" applyBorder="1" applyAlignment="1">
      <alignment vertical="center" wrapText="1"/>
    </xf>
    <xf numFmtId="0" fontId="2" fillId="0" borderId="1" xfId="1" applyFill="1" applyBorder="1" applyAlignment="1">
      <alignment vertical="center" wrapText="1"/>
    </xf>
    <xf numFmtId="0" fontId="1" fillId="0" borderId="6" xfId="1" applyNumberFormat="1" applyFont="1" applyFill="1" applyBorder="1" applyAlignment="1">
      <alignment horizontal="center" vertical="top"/>
    </xf>
    <xf numFmtId="2" fontId="1" fillId="0" borderId="1" xfId="5" applyNumberFormat="1" applyFont="1" applyFill="1" applyBorder="1" applyAlignment="1">
      <alignment horizontal="center" vertical="top" wrapText="1"/>
    </xf>
    <xf numFmtId="9" fontId="1" fillId="0" borderId="12" xfId="5" applyNumberFormat="1" applyFont="1" applyFill="1" applyBorder="1" applyAlignment="1">
      <alignment horizontal="center" vertical="top"/>
    </xf>
    <xf numFmtId="0" fontId="1" fillId="0" borderId="1" xfId="1" applyFont="1" applyFill="1" applyBorder="1" applyAlignment="1">
      <alignment vertical="top"/>
    </xf>
    <xf numFmtId="0" fontId="1" fillId="0" borderId="12" xfId="1" applyNumberFormat="1" applyFont="1" applyFill="1" applyBorder="1" applyAlignment="1">
      <alignment horizontal="center" vertical="top" wrapText="1"/>
    </xf>
    <xf numFmtId="0" fontId="2" fillId="0" borderId="1" xfId="1" applyFill="1" applyBorder="1" applyAlignment="1">
      <alignment vertical="top"/>
    </xf>
    <xf numFmtId="0" fontId="5" fillId="0" borderId="12" xfId="1" applyFont="1" applyFill="1" applyBorder="1" applyAlignment="1">
      <alignment vertical="center" wrapText="1"/>
    </xf>
    <xf numFmtId="0" fontId="1" fillId="0" borderId="4" xfId="1" applyFont="1" applyFill="1" applyBorder="1" applyAlignment="1">
      <alignment horizontal="left" vertical="top" wrapText="1"/>
    </xf>
    <xf numFmtId="0" fontId="7" fillId="0" borderId="4" xfId="1" applyFont="1" applyFill="1" applyBorder="1" applyAlignment="1">
      <alignment horizontal="center" vertical="top"/>
    </xf>
    <xf numFmtId="0" fontId="1" fillId="0" borderId="10" xfId="1" applyFont="1" applyFill="1" applyBorder="1" applyAlignment="1">
      <alignment horizontal="center" vertical="top"/>
    </xf>
    <xf numFmtId="0" fontId="1" fillId="0" borderId="2" xfId="1" applyFont="1" applyFill="1" applyBorder="1" applyAlignment="1">
      <alignment horizontal="left" vertical="top" wrapText="1"/>
    </xf>
    <xf numFmtId="0" fontId="1" fillId="0" borderId="2" xfId="1" applyFont="1" applyFill="1" applyBorder="1" applyAlignment="1">
      <alignment horizontal="center" vertical="top"/>
    </xf>
    <xf numFmtId="2" fontId="1" fillId="0" borderId="2" xfId="1" applyNumberFormat="1" applyFont="1" applyFill="1" applyBorder="1" applyAlignment="1">
      <alignment horizontal="center" vertical="top" wrapText="1"/>
    </xf>
    <xf numFmtId="9" fontId="1" fillId="0" borderId="2" xfId="5" applyNumberFormat="1" applyFont="1" applyFill="1" applyBorder="1" applyAlignment="1">
      <alignment horizontal="center" vertical="top"/>
    </xf>
    <xf numFmtId="2" fontId="3" fillId="0" borderId="12" xfId="1" applyNumberFormat="1" applyFont="1" applyFill="1" applyBorder="1" applyAlignment="1">
      <alignment vertical="top" wrapText="1"/>
    </xf>
    <xf numFmtId="0" fontId="1" fillId="0" borderId="7" xfId="1" applyFont="1" applyFill="1" applyBorder="1" applyAlignment="1">
      <alignment horizontal="left" vertical="top" wrapText="1"/>
    </xf>
    <xf numFmtId="0" fontId="1" fillId="0" borderId="7" xfId="1" applyFont="1" applyFill="1" applyBorder="1" applyAlignment="1">
      <alignment horizontal="center" vertical="top"/>
    </xf>
    <xf numFmtId="0" fontId="7" fillId="0" borderId="1" xfId="1" applyFont="1" applyFill="1" applyBorder="1" applyAlignment="1">
      <alignment vertical="top" wrapText="1"/>
    </xf>
    <xf numFmtId="9" fontId="21" fillId="0" borderId="1" xfId="5" applyNumberFormat="1" applyFont="1" applyFill="1" applyBorder="1" applyAlignment="1">
      <alignment horizontal="center" vertical="top" wrapText="1"/>
    </xf>
    <xf numFmtId="9" fontId="22" fillId="0" borderId="1" xfId="5" applyNumberFormat="1" applyFont="1" applyFill="1" applyBorder="1" applyAlignment="1">
      <alignment horizontal="center" vertical="top" wrapText="1"/>
    </xf>
    <xf numFmtId="0" fontId="7" fillId="0" borderId="1" xfId="1" applyFont="1" applyFill="1" applyBorder="1" applyAlignment="1">
      <alignment horizontal="center" vertical="top" wrapText="1"/>
    </xf>
    <xf numFmtId="0" fontId="7" fillId="0" borderId="4" xfId="1" applyFont="1" applyFill="1" applyBorder="1" applyAlignment="1">
      <alignment vertical="top" wrapText="1"/>
    </xf>
    <xf numFmtId="0" fontId="7" fillId="0" borderId="4" xfId="1" applyFont="1" applyFill="1" applyBorder="1" applyAlignment="1">
      <alignment horizontal="center" vertical="top" wrapText="1"/>
    </xf>
    <xf numFmtId="0" fontId="1" fillId="0" borderId="12" xfId="1" applyFont="1" applyFill="1" applyBorder="1" applyAlignment="1">
      <alignment vertical="top"/>
    </xf>
    <xf numFmtId="0" fontId="1" fillId="0" borderId="7" xfId="1" applyFont="1" applyFill="1" applyBorder="1" applyAlignment="1">
      <alignment vertical="top"/>
    </xf>
    <xf numFmtId="0" fontId="1" fillId="0" borderId="4" xfId="1" applyFont="1" applyFill="1" applyBorder="1" applyAlignment="1">
      <alignment horizontal="center" vertical="top"/>
    </xf>
    <xf numFmtId="10" fontId="22" fillId="0" borderId="1" xfId="1" applyNumberFormat="1" applyFont="1" applyFill="1" applyBorder="1" applyAlignment="1">
      <alignment horizontal="center" vertical="top" wrapText="1"/>
    </xf>
    <xf numFmtId="43" fontId="1" fillId="0" borderId="1" xfId="19" applyNumberFormat="1" applyFont="1" applyFill="1" applyBorder="1" applyAlignment="1">
      <alignment horizontal="center" vertical="top" wrapText="1"/>
    </xf>
    <xf numFmtId="10" fontId="1" fillId="0" borderId="1" xfId="1" applyNumberFormat="1" applyFont="1" applyFill="1" applyBorder="1" applyAlignment="1">
      <alignment horizontal="center" vertical="top" wrapText="1"/>
    </xf>
    <xf numFmtId="0" fontId="7" fillId="0" borderId="1" xfId="1" applyFont="1" applyFill="1" applyBorder="1" applyAlignment="1">
      <alignment horizontal="center" vertical="top"/>
    </xf>
    <xf numFmtId="0" fontId="2" fillId="0" borderId="10" xfId="1" applyFill="1" applyBorder="1" applyAlignment="1">
      <alignment vertical="top"/>
    </xf>
    <xf numFmtId="0" fontId="23" fillId="0" borderId="10" xfId="1" applyFont="1" applyFill="1" applyBorder="1" applyAlignment="1">
      <alignment vertical="top" wrapText="1"/>
    </xf>
    <xf numFmtId="0" fontId="7" fillId="0" borderId="12" xfId="1" applyFont="1" applyFill="1" applyBorder="1" applyAlignment="1">
      <alignment horizontal="center" vertical="top"/>
    </xf>
    <xf numFmtId="0" fontId="2" fillId="0" borderId="12" xfId="1" applyFont="1" applyFill="1" applyBorder="1" applyAlignment="1">
      <alignment horizontal="center" vertical="top"/>
    </xf>
    <xf numFmtId="2" fontId="1" fillId="0" borderId="12" xfId="1" applyNumberFormat="1" applyFont="1" applyFill="1" applyBorder="1" applyAlignment="1">
      <alignment horizontal="center" vertical="top"/>
    </xf>
    <xf numFmtId="0" fontId="7" fillId="0" borderId="7" xfId="1" applyFont="1" applyFill="1" applyBorder="1" applyAlignment="1">
      <alignment vertical="top" wrapText="1"/>
    </xf>
    <xf numFmtId="0" fontId="7" fillId="0" borderId="7" xfId="1" applyFont="1" applyFill="1" applyBorder="1" applyAlignment="1">
      <alignment horizontal="center" vertical="top"/>
    </xf>
    <xf numFmtId="10" fontId="21" fillId="0" borderId="1" xfId="1" applyNumberFormat="1" applyFont="1" applyFill="1" applyBorder="1" applyAlignment="1">
      <alignment horizontal="center" vertical="top" wrapText="1"/>
    </xf>
    <xf numFmtId="1" fontId="1" fillId="0" borderId="1" xfId="1" applyNumberFormat="1" applyFont="1" applyFill="1" applyBorder="1" applyAlignment="1">
      <alignment horizontal="center" vertical="top" wrapText="1"/>
    </xf>
    <xf numFmtId="0" fontId="2" fillId="0" borderId="1" xfId="1" applyFill="1" applyBorder="1"/>
    <xf numFmtId="0" fontId="31" fillId="0" borderId="10" xfId="18" applyFont="1" applyFill="1" applyBorder="1" applyAlignment="1">
      <alignment vertical="top"/>
    </xf>
    <xf numFmtId="0" fontId="31" fillId="0" borderId="1" xfId="18" applyFont="1" applyFill="1" applyBorder="1" applyAlignment="1">
      <alignment horizontal="center" vertical="top"/>
    </xf>
    <xf numFmtId="0" fontId="31" fillId="0" borderId="10" xfId="18" applyFont="1" applyFill="1" applyBorder="1" applyAlignment="1">
      <alignment vertical="top" wrapText="1"/>
    </xf>
    <xf numFmtId="0" fontId="26" fillId="0" borderId="0" xfId="5" applyFont="1" applyFill="1" applyBorder="1" applyAlignment="1">
      <alignment horizontal="center" vertical="center"/>
    </xf>
    <xf numFmtId="0" fontId="27" fillId="0" borderId="0" xfId="5" applyFont="1" applyFill="1" applyBorder="1" applyAlignment="1">
      <alignment horizontal="center" vertical="center"/>
    </xf>
    <xf numFmtId="0" fontId="11" fillId="0" borderId="0" xfId="5" applyFont="1" applyFill="1" applyBorder="1" applyAlignment="1">
      <alignment horizontal="center" vertical="center"/>
    </xf>
    <xf numFmtId="0" fontId="11" fillId="0" borderId="1" xfId="5" applyFont="1" applyFill="1" applyBorder="1" applyAlignment="1">
      <alignment horizontal="center" vertical="top" wrapText="1"/>
    </xf>
    <xf numFmtId="0" fontId="14" fillId="0" borderId="5" xfId="5" applyFont="1" applyFill="1" applyBorder="1" applyAlignment="1">
      <alignment horizontal="center" vertical="top" wrapText="1"/>
    </xf>
    <xf numFmtId="0" fontId="14" fillId="0" borderId="14" xfId="5" applyFont="1" applyFill="1" applyBorder="1" applyAlignment="1">
      <alignment horizontal="center" vertical="top" wrapText="1"/>
    </xf>
    <xf numFmtId="0" fontId="14" fillId="0" borderId="6" xfId="5" applyFont="1" applyFill="1" applyBorder="1" applyAlignment="1">
      <alignment horizontal="center" vertical="top" wrapText="1"/>
    </xf>
    <xf numFmtId="0" fontId="11" fillId="0" borderId="10" xfId="5" applyFont="1" applyFill="1" applyBorder="1" applyAlignment="1">
      <alignment horizontal="center" vertical="top" wrapText="1"/>
    </xf>
    <xf numFmtId="0" fontId="11" fillId="0" borderId="11" xfId="5" applyFont="1" applyFill="1" applyBorder="1" applyAlignment="1">
      <alignment horizontal="center" vertical="top" wrapText="1"/>
    </xf>
    <xf numFmtId="0" fontId="1" fillId="3" borderId="4" xfId="5" applyFont="1" applyFill="1" applyBorder="1" applyAlignment="1">
      <alignment horizontal="center" vertical="top" wrapText="1"/>
    </xf>
    <xf numFmtId="0" fontId="1" fillId="3" borderId="2" xfId="5" applyFont="1" applyFill="1" applyBorder="1" applyAlignment="1">
      <alignment horizontal="center" vertical="top" wrapText="1"/>
    </xf>
    <xf numFmtId="0" fontId="1" fillId="3" borderId="7" xfId="5" applyFont="1" applyFill="1" applyBorder="1" applyAlignment="1">
      <alignment horizontal="center" vertical="top" wrapText="1"/>
    </xf>
    <xf numFmtId="0" fontId="1" fillId="3" borderId="4" xfId="5" applyFont="1" applyFill="1" applyBorder="1" applyAlignment="1">
      <alignment horizontal="center" vertical="top"/>
    </xf>
    <xf numFmtId="0" fontId="1" fillId="3" borderId="2" xfId="5" applyFont="1" applyFill="1" applyBorder="1" applyAlignment="1">
      <alignment horizontal="center" vertical="top"/>
    </xf>
    <xf numFmtId="0" fontId="1" fillId="3" borderId="1" xfId="5" applyFont="1" applyFill="1" applyBorder="1" applyAlignment="1">
      <alignment horizontal="center" vertical="top" wrapText="1"/>
    </xf>
    <xf numFmtId="0" fontId="3" fillId="3" borderId="13" xfId="1" applyFont="1" applyFill="1" applyBorder="1" applyAlignment="1">
      <alignment horizontal="left" vertical="top" wrapText="1"/>
    </xf>
    <xf numFmtId="0" fontId="9" fillId="3" borderId="1" xfId="5" applyFill="1" applyBorder="1" applyAlignment="1">
      <alignment vertical="top"/>
    </xf>
    <xf numFmtId="0" fontId="1" fillId="3" borderId="1" xfId="5" applyFont="1" applyFill="1" applyBorder="1" applyAlignment="1">
      <alignment horizontal="center" vertical="top"/>
    </xf>
    <xf numFmtId="0" fontId="1" fillId="3" borderId="7" xfId="5" applyFont="1" applyFill="1" applyBorder="1" applyAlignment="1">
      <alignment horizontal="center" vertical="top"/>
    </xf>
    <xf numFmtId="0" fontId="14" fillId="0" borderId="4" xfId="5" applyFont="1" applyFill="1" applyBorder="1" applyAlignment="1">
      <alignment horizontal="center" vertical="center" wrapText="1"/>
    </xf>
    <xf numFmtId="0" fontId="14" fillId="0" borderId="7" xfId="5" applyFont="1" applyFill="1" applyBorder="1" applyAlignment="1">
      <alignment horizontal="center" vertical="center" wrapText="1"/>
    </xf>
    <xf numFmtId="0" fontId="14" fillId="0" borderId="5" xfId="5" applyFont="1" applyFill="1" applyBorder="1" applyAlignment="1">
      <alignment horizontal="center" vertical="center" wrapText="1"/>
    </xf>
    <xf numFmtId="0" fontId="14" fillId="0" borderId="6" xfId="5" applyFont="1" applyFill="1" applyBorder="1" applyAlignment="1">
      <alignment horizontal="center" vertical="center" wrapText="1"/>
    </xf>
    <xf numFmtId="0" fontId="14" fillId="0" borderId="8" xfId="5" applyFont="1" applyFill="1" applyBorder="1" applyAlignment="1">
      <alignment horizontal="center" vertical="center" wrapText="1"/>
    </xf>
    <xf numFmtId="0" fontId="14" fillId="0" borderId="9" xfId="5" applyFont="1" applyFill="1" applyBorder="1" applyAlignment="1">
      <alignment horizontal="center" vertical="center" wrapText="1"/>
    </xf>
    <xf numFmtId="0" fontId="4" fillId="2" borderId="0" xfId="5" applyFont="1" applyFill="1" applyAlignment="1">
      <alignment horizontal="left" vertical="top" wrapText="1"/>
    </xf>
    <xf numFmtId="0" fontId="11" fillId="0" borderId="3" xfId="5" applyFont="1" applyFill="1" applyBorder="1" applyAlignment="1">
      <alignment horizontal="center" vertical="center"/>
    </xf>
    <xf numFmtId="0" fontId="14" fillId="0" borderId="1" xfId="5" applyFont="1" applyFill="1" applyBorder="1" applyAlignment="1">
      <alignment horizontal="center" vertical="center"/>
    </xf>
    <xf numFmtId="0" fontId="14" fillId="0" borderId="1" xfId="5" applyFont="1" applyFill="1" applyBorder="1" applyAlignment="1">
      <alignment horizontal="center" vertical="center" wrapText="1"/>
    </xf>
    <xf numFmtId="0" fontId="14" fillId="0" borderId="4" xfId="5" applyFont="1" applyFill="1" applyBorder="1" applyAlignment="1">
      <alignment horizontal="center" vertical="top" wrapText="1"/>
    </xf>
    <xf numFmtId="0" fontId="14" fillId="0" borderId="7" xfId="5" applyFont="1" applyFill="1" applyBorder="1" applyAlignment="1">
      <alignment horizontal="center" vertical="top" wrapText="1"/>
    </xf>
    <xf numFmtId="0" fontId="26" fillId="0" borderId="0" xfId="1" applyFont="1" applyFill="1" applyBorder="1" applyAlignment="1">
      <alignment horizontal="center" vertical="center"/>
    </xf>
    <xf numFmtId="0" fontId="12" fillId="4" borderId="13" xfId="1" applyFont="1" applyFill="1" applyBorder="1" applyAlignment="1">
      <alignment horizontal="left" vertical="top" wrapText="1"/>
    </xf>
    <xf numFmtId="0" fontId="3" fillId="4" borderId="0" xfId="1" applyFont="1" applyFill="1" applyBorder="1" applyAlignment="1">
      <alignment horizontal="left" vertical="top" wrapText="1"/>
    </xf>
    <xf numFmtId="0" fontId="3" fillId="4" borderId="13" xfId="1" applyFont="1" applyFill="1" applyBorder="1" applyAlignment="1">
      <alignment horizontal="left" vertical="top" wrapText="1"/>
    </xf>
    <xf numFmtId="0" fontId="14" fillId="0" borderId="8" xfId="5" applyFont="1" applyFill="1" applyBorder="1" applyAlignment="1">
      <alignment horizontal="center" vertical="top" wrapText="1"/>
    </xf>
    <xf numFmtId="0" fontId="14" fillId="0" borderId="9" xfId="5" applyFont="1" applyFill="1" applyBorder="1" applyAlignment="1">
      <alignment horizontal="center" vertical="top" wrapText="1"/>
    </xf>
    <xf numFmtId="0" fontId="11" fillId="0" borderId="6" xfId="5" applyFont="1" applyFill="1" applyBorder="1" applyAlignment="1">
      <alignment horizontal="center" vertical="top" wrapText="1"/>
    </xf>
    <xf numFmtId="0" fontId="1" fillId="0" borderId="4" xfId="1" applyFont="1" applyFill="1" applyBorder="1" applyAlignment="1">
      <alignment horizontal="center" vertical="top" wrapText="1"/>
    </xf>
    <xf numFmtId="0" fontId="1" fillId="0" borderId="2" xfId="1" applyFont="1" applyFill="1" applyBorder="1" applyAlignment="1">
      <alignment horizontal="center" vertical="top" wrapText="1"/>
    </xf>
    <xf numFmtId="0" fontId="1" fillId="0" borderId="7" xfId="1" applyFont="1" applyFill="1" applyBorder="1" applyAlignment="1">
      <alignment horizontal="center" vertical="top" wrapText="1"/>
    </xf>
    <xf numFmtId="0" fontId="1" fillId="0" borderId="1" xfId="1" applyFont="1" applyFill="1" applyBorder="1" applyAlignment="1">
      <alignment horizontal="center" vertical="top"/>
    </xf>
    <xf numFmtId="0" fontId="27" fillId="0" borderId="0" xfId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/>
    </xf>
    <xf numFmtId="0" fontId="14" fillId="0" borderId="1" xfId="5" applyFont="1" applyFill="1" applyBorder="1" applyAlignment="1">
      <alignment horizontal="center" vertical="top"/>
    </xf>
    <xf numFmtId="0" fontId="1" fillId="0" borderId="1" xfId="1" applyFont="1" applyFill="1" applyBorder="1" applyAlignment="1">
      <alignment horizontal="center" vertical="top" wrapText="1"/>
    </xf>
    <xf numFmtId="0" fontId="1" fillId="0" borderId="10" xfId="1" applyFont="1" applyFill="1" applyBorder="1" applyAlignment="1">
      <alignment horizontal="center" vertical="top"/>
    </xf>
    <xf numFmtId="10" fontId="1" fillId="0" borderId="4" xfId="1" applyNumberFormat="1" applyFont="1" applyFill="1" applyBorder="1" applyAlignment="1">
      <alignment horizontal="center" vertical="top" wrapText="1"/>
    </xf>
    <xf numFmtId="10" fontId="1" fillId="0" borderId="7" xfId="1" applyNumberFormat="1" applyFont="1" applyFill="1" applyBorder="1" applyAlignment="1">
      <alignment horizontal="center" vertical="top" wrapText="1"/>
    </xf>
    <xf numFmtId="9" fontId="1" fillId="0" borderId="4" xfId="5" applyNumberFormat="1" applyFont="1" applyFill="1" applyBorder="1" applyAlignment="1">
      <alignment horizontal="center" vertical="top" wrapText="1"/>
    </xf>
    <xf numFmtId="9" fontId="1" fillId="0" borderId="2" xfId="5" applyNumberFormat="1" applyFont="1" applyFill="1" applyBorder="1" applyAlignment="1">
      <alignment horizontal="center" vertical="top" wrapText="1"/>
    </xf>
    <xf numFmtId="0" fontId="14" fillId="0" borderId="1" xfId="5" applyFont="1" applyFill="1" applyBorder="1" applyAlignment="1">
      <alignment horizontal="center" vertical="top" wrapText="1"/>
    </xf>
  </cellXfs>
  <cellStyles count="23">
    <cellStyle name="Comma" xfId="22" builtinId="3"/>
    <cellStyle name="Comma 2" xfId="17"/>
    <cellStyle name="Comma 2 2" xfId="19"/>
    <cellStyle name="Normal" xfId="0" builtinId="0"/>
    <cellStyle name="Normal 10" xfId="2"/>
    <cellStyle name="Normal 10 4" xfId="3"/>
    <cellStyle name="Normal 2" xfId="1"/>
    <cellStyle name="Normal 2 2" xfId="4"/>
    <cellStyle name="Normal 2 2 2" xfId="20"/>
    <cellStyle name="Normal 2 2 2 3" xfId="5"/>
    <cellStyle name="Normal 2 2 3" xfId="6"/>
    <cellStyle name="Normal 2 2 3 3" xfId="7"/>
    <cellStyle name="Normal 21" xfId="8"/>
    <cellStyle name="Normal 3" xfId="9"/>
    <cellStyle name="Normal 3 2" xfId="10"/>
    <cellStyle name="Normal 3 4" xfId="11"/>
    <cellStyle name="Normal 3 4 2" xfId="12"/>
    <cellStyle name="Normal 4" xfId="13"/>
    <cellStyle name="Normal 5" xfId="14"/>
    <cellStyle name="Normal 6" xfId="15"/>
    <cellStyle name="Normal 7" xfId="18"/>
    <cellStyle name="Normal 8" xfId="21"/>
    <cellStyle name="Percent 2" xfId="16"/>
  </cellStyles>
  <dxfs count="0"/>
  <tableStyles count="0" defaultTableStyle="TableStyleMedium9" defaultPivotStyle="PivotStyleLight16"/>
  <colors>
    <mruColors>
      <color rgb="FF00FFFF"/>
      <color rgb="FF00FFCC"/>
      <color rgb="FF00FF00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96"/>
  <sheetViews>
    <sheetView tabSelected="1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C10" sqref="C10"/>
    </sheetView>
  </sheetViews>
  <sheetFormatPr defaultRowHeight="12.75"/>
  <cols>
    <col min="1" max="1" width="4.28515625" style="11" customWidth="1"/>
    <col min="2" max="2" width="4" style="11" bestFit="1" customWidth="1"/>
    <col min="3" max="3" width="36.85546875" style="11" customWidth="1"/>
    <col min="4" max="4" width="7.140625" style="11" bestFit="1" customWidth="1"/>
    <col min="5" max="5" width="12.7109375" style="17" customWidth="1"/>
    <col min="6" max="6" width="11.7109375" style="17" customWidth="1"/>
    <col min="7" max="7" width="9.85546875" style="17" customWidth="1"/>
    <col min="8" max="8" width="12.85546875" style="17" customWidth="1"/>
    <col min="9" max="9" width="12" style="17" bestFit="1" customWidth="1"/>
    <col min="10" max="10" width="9.7109375" style="17" bestFit="1" customWidth="1"/>
    <col min="11" max="11" width="10.85546875" style="17" customWidth="1"/>
    <col min="12" max="12" width="12" style="17" bestFit="1" customWidth="1"/>
    <col min="13" max="13" width="6.7109375" style="28" customWidth="1"/>
    <col min="14" max="16384" width="9.140625" style="11"/>
  </cols>
  <sheetData>
    <row r="1" spans="1:16" ht="18">
      <c r="A1" s="10"/>
      <c r="B1" s="308" t="s">
        <v>689</v>
      </c>
      <c r="C1" s="308"/>
      <c r="D1" s="308"/>
      <c r="E1" s="308"/>
      <c r="F1" s="308"/>
      <c r="G1" s="308"/>
      <c r="H1" s="308"/>
      <c r="I1" s="308"/>
      <c r="J1" s="308"/>
      <c r="K1" s="11"/>
      <c r="L1" s="12"/>
      <c r="M1" s="11"/>
    </row>
    <row r="2" spans="1:16" ht="18">
      <c r="A2" s="10"/>
      <c r="B2" s="72"/>
      <c r="C2" s="72"/>
      <c r="D2" s="72"/>
      <c r="E2" s="72"/>
      <c r="F2" s="72"/>
      <c r="G2" s="72"/>
      <c r="H2" s="72"/>
      <c r="I2" s="72"/>
      <c r="J2" s="72"/>
      <c r="K2" s="309" t="s">
        <v>695</v>
      </c>
      <c r="L2" s="309"/>
      <c r="M2" s="11"/>
    </row>
    <row r="3" spans="1:16" ht="15">
      <c r="A3" s="10"/>
      <c r="B3" s="10"/>
      <c r="C3" s="10"/>
      <c r="D3" s="15"/>
      <c r="E3" s="15"/>
      <c r="F3" s="15"/>
      <c r="G3" s="15"/>
      <c r="H3" s="12"/>
      <c r="I3" s="12"/>
      <c r="J3" s="12"/>
      <c r="K3" s="310" t="s">
        <v>92</v>
      </c>
      <c r="L3" s="310"/>
      <c r="M3" s="11"/>
    </row>
    <row r="4" spans="1:16" ht="5.25" customHeight="1">
      <c r="A4" s="10"/>
      <c r="B4" s="10"/>
      <c r="C4" s="10"/>
      <c r="D4" s="15"/>
      <c r="E4" s="15"/>
      <c r="F4" s="15"/>
      <c r="G4" s="15"/>
      <c r="H4" s="12"/>
      <c r="I4" s="12"/>
      <c r="J4" s="12"/>
      <c r="K4" s="20"/>
      <c r="L4" s="12"/>
      <c r="M4" s="11"/>
    </row>
    <row r="5" spans="1:16" ht="15" customHeight="1">
      <c r="A5" s="311" t="s">
        <v>93</v>
      </c>
      <c r="B5" s="311" t="s">
        <v>6</v>
      </c>
      <c r="C5" s="311"/>
      <c r="D5" s="311" t="s">
        <v>1</v>
      </c>
      <c r="E5" s="311" t="s">
        <v>0</v>
      </c>
      <c r="F5" s="312" t="s">
        <v>691</v>
      </c>
      <c r="G5" s="313"/>
      <c r="H5" s="314"/>
      <c r="I5" s="311" t="s">
        <v>776</v>
      </c>
      <c r="J5" s="311"/>
      <c r="K5" s="311"/>
      <c r="L5" s="311"/>
      <c r="M5" s="311" t="s">
        <v>696</v>
      </c>
    </row>
    <row r="6" spans="1:16" ht="108" customHeight="1">
      <c r="A6" s="311"/>
      <c r="B6" s="311"/>
      <c r="C6" s="311"/>
      <c r="D6" s="311"/>
      <c r="E6" s="311"/>
      <c r="F6" s="70" t="s">
        <v>94</v>
      </c>
      <c r="G6" s="70" t="s">
        <v>697</v>
      </c>
      <c r="H6" s="70" t="s">
        <v>703</v>
      </c>
      <c r="I6" s="70" t="s">
        <v>94</v>
      </c>
      <c r="J6" s="70" t="s">
        <v>697</v>
      </c>
      <c r="K6" s="70" t="s">
        <v>95</v>
      </c>
      <c r="L6" s="57" t="s">
        <v>698</v>
      </c>
      <c r="M6" s="311"/>
    </row>
    <row r="7" spans="1:16" ht="15">
      <c r="A7" s="70">
        <v>1</v>
      </c>
      <c r="B7" s="315">
        <v>2</v>
      </c>
      <c r="C7" s="316"/>
      <c r="D7" s="70">
        <v>3</v>
      </c>
      <c r="E7" s="70">
        <v>4</v>
      </c>
      <c r="F7" s="70">
        <v>5</v>
      </c>
      <c r="G7" s="70">
        <v>6</v>
      </c>
      <c r="H7" s="70">
        <v>7</v>
      </c>
      <c r="I7" s="70">
        <v>8</v>
      </c>
      <c r="J7" s="70">
        <v>9</v>
      </c>
      <c r="K7" s="70">
        <v>10</v>
      </c>
      <c r="L7" s="70">
        <v>11</v>
      </c>
      <c r="M7" s="70">
        <v>12</v>
      </c>
    </row>
    <row r="8" spans="1:16" ht="41.25" customHeight="1">
      <c r="A8" s="320">
        <v>1</v>
      </c>
      <c r="B8" s="76" t="s">
        <v>27</v>
      </c>
      <c r="C8" s="77" t="s">
        <v>96</v>
      </c>
      <c r="D8" s="78"/>
      <c r="E8" s="79"/>
      <c r="F8" s="79"/>
      <c r="G8" s="79"/>
      <c r="H8" s="80"/>
      <c r="I8" s="78"/>
      <c r="J8" s="78"/>
      <c r="K8" s="78"/>
      <c r="L8" s="81"/>
      <c r="M8" s="82"/>
    </row>
    <row r="9" spans="1:16" ht="18" customHeight="1">
      <c r="A9" s="321"/>
      <c r="B9" s="83" t="s">
        <v>8</v>
      </c>
      <c r="C9" s="84" t="s">
        <v>97</v>
      </c>
      <c r="D9" s="83" t="s">
        <v>5</v>
      </c>
      <c r="E9" s="85">
        <v>7132210017</v>
      </c>
      <c r="F9" s="85">
        <v>33808.720000000001</v>
      </c>
      <c r="G9" s="86">
        <v>1814.5</v>
      </c>
      <c r="H9" s="86">
        <v>42035.4</v>
      </c>
      <c r="I9" s="86">
        <v>36563.01</v>
      </c>
      <c r="J9" s="86">
        <v>859.5</v>
      </c>
      <c r="K9" s="86">
        <f>(I9+J9)*0.18</f>
        <v>6736.0518000000002</v>
      </c>
      <c r="L9" s="86">
        <f t="shared" ref="L9:L15" si="0">I9+J9+K9</f>
        <v>44158.561800000003</v>
      </c>
      <c r="M9" s="87">
        <v>0.18</v>
      </c>
    </row>
    <row r="10" spans="1:16" ht="18" customHeight="1">
      <c r="A10" s="321"/>
      <c r="B10" s="83" t="s">
        <v>11</v>
      </c>
      <c r="C10" s="84" t="s">
        <v>98</v>
      </c>
      <c r="D10" s="83" t="s">
        <v>5</v>
      </c>
      <c r="E10" s="85">
        <v>7132210018</v>
      </c>
      <c r="F10" s="85">
        <v>38312.58</v>
      </c>
      <c r="G10" s="86">
        <v>2387.5</v>
      </c>
      <c r="H10" s="86">
        <v>48026.09</v>
      </c>
      <c r="I10" s="86">
        <v>39525.93</v>
      </c>
      <c r="J10" s="86">
        <v>2387.5</v>
      </c>
      <c r="K10" s="86">
        <f>(I10+J10)*0.18</f>
        <v>7544.4173999999994</v>
      </c>
      <c r="L10" s="86">
        <f t="shared" si="0"/>
        <v>49457.847399999999</v>
      </c>
      <c r="M10" s="87">
        <v>0.18</v>
      </c>
    </row>
    <row r="11" spans="1:16" ht="18" customHeight="1">
      <c r="A11" s="321"/>
      <c r="B11" s="83" t="s">
        <v>32</v>
      </c>
      <c r="C11" s="84" t="s">
        <v>99</v>
      </c>
      <c r="D11" s="83" t="s">
        <v>5</v>
      </c>
      <c r="E11" s="85">
        <v>7132210019</v>
      </c>
      <c r="F11" s="85">
        <v>69473.47</v>
      </c>
      <c r="G11" s="86">
        <v>2865</v>
      </c>
      <c r="H11" s="88">
        <v>85359.39</v>
      </c>
      <c r="I11" s="86">
        <v>73933.02</v>
      </c>
      <c r="J11" s="86">
        <v>1671.25</v>
      </c>
      <c r="K11" s="86">
        <f>(I11+J11)*0.18</f>
        <v>13608.768599999999</v>
      </c>
      <c r="L11" s="86">
        <f t="shared" si="0"/>
        <v>89213.0386</v>
      </c>
      <c r="M11" s="87">
        <v>0.18</v>
      </c>
    </row>
    <row r="12" spans="1:16" ht="18" customHeight="1">
      <c r="A12" s="321"/>
      <c r="B12" s="83" t="s">
        <v>15</v>
      </c>
      <c r="C12" s="84" t="s">
        <v>100</v>
      </c>
      <c r="D12" s="83" t="s">
        <v>5</v>
      </c>
      <c r="E12" s="85">
        <v>7132210020</v>
      </c>
      <c r="F12" s="85">
        <v>92035.35</v>
      </c>
      <c r="G12" s="86">
        <v>3342.5</v>
      </c>
      <c r="H12" s="86">
        <v>112545.83</v>
      </c>
      <c r="I12" s="86">
        <v>97580.04</v>
      </c>
      <c r="J12" s="86">
        <v>1910</v>
      </c>
      <c r="K12" s="86">
        <f>(I12+J12)*0.18</f>
        <v>17908.207199999997</v>
      </c>
      <c r="L12" s="86">
        <f t="shared" si="0"/>
        <v>117398.24719999998</v>
      </c>
      <c r="M12" s="87">
        <v>0.18</v>
      </c>
    </row>
    <row r="13" spans="1:16" ht="27" customHeight="1">
      <c r="A13" s="321"/>
      <c r="B13" s="83" t="s">
        <v>88</v>
      </c>
      <c r="C13" s="84" t="s">
        <v>101</v>
      </c>
      <c r="D13" s="83" t="s">
        <v>5</v>
      </c>
      <c r="E13" s="85">
        <v>7132210021</v>
      </c>
      <c r="F13" s="85">
        <v>170278.12</v>
      </c>
      <c r="G13" s="86">
        <v>4775</v>
      </c>
      <c r="H13" s="86">
        <v>206562.68</v>
      </c>
      <c r="I13" s="86">
        <v>183258.54</v>
      </c>
      <c r="J13" s="86">
        <v>3820</v>
      </c>
      <c r="K13" s="86">
        <f>(I13+J13)*0.18</f>
        <v>33674.137199999997</v>
      </c>
      <c r="L13" s="86">
        <f t="shared" si="0"/>
        <v>220752.67720000001</v>
      </c>
      <c r="M13" s="87">
        <v>0.18</v>
      </c>
    </row>
    <row r="14" spans="1:16" ht="19.5" customHeight="1">
      <c r="A14" s="321"/>
      <c r="B14" s="83" t="s">
        <v>108</v>
      </c>
      <c r="C14" s="84" t="s">
        <v>713</v>
      </c>
      <c r="D14" s="83" t="s">
        <v>5</v>
      </c>
      <c r="E14" s="85">
        <v>7132220081</v>
      </c>
      <c r="F14" s="89"/>
      <c r="G14" s="89"/>
      <c r="H14" s="90" t="s">
        <v>699</v>
      </c>
      <c r="I14" s="86">
        <v>457683.47</v>
      </c>
      <c r="J14" s="86">
        <v>5730</v>
      </c>
      <c r="K14" s="86">
        <v>83414.42</v>
      </c>
      <c r="L14" s="86">
        <f t="shared" si="0"/>
        <v>546827.89</v>
      </c>
      <c r="M14" s="87">
        <v>0.18</v>
      </c>
      <c r="N14" s="53" t="s">
        <v>716</v>
      </c>
      <c r="O14" s="54"/>
      <c r="P14" s="54"/>
    </row>
    <row r="15" spans="1:16" ht="20.25" customHeight="1">
      <c r="A15" s="321"/>
      <c r="B15" s="83" t="s">
        <v>56</v>
      </c>
      <c r="C15" s="84" t="s">
        <v>714</v>
      </c>
      <c r="D15" s="83" t="s">
        <v>5</v>
      </c>
      <c r="E15" s="85">
        <v>7132220082</v>
      </c>
      <c r="F15" s="89"/>
      <c r="G15" s="89"/>
      <c r="H15" s="90" t="s">
        <v>699</v>
      </c>
      <c r="I15" s="86">
        <v>692840.82</v>
      </c>
      <c r="J15" s="86">
        <v>7630</v>
      </c>
      <c r="K15" s="86">
        <f>(I15+J15)*0.18</f>
        <v>126084.74759999999</v>
      </c>
      <c r="L15" s="86">
        <f t="shared" si="0"/>
        <v>826555.56759999995</v>
      </c>
      <c r="M15" s="87">
        <v>0.18</v>
      </c>
      <c r="N15" s="53" t="s">
        <v>716</v>
      </c>
      <c r="O15" s="54"/>
      <c r="P15" s="54"/>
    </row>
    <row r="16" spans="1:16" ht="33" customHeight="1">
      <c r="A16" s="321"/>
      <c r="B16" s="76" t="s">
        <v>18</v>
      </c>
      <c r="C16" s="91" t="s">
        <v>102</v>
      </c>
      <c r="D16" s="79"/>
      <c r="E16" s="79"/>
      <c r="F16" s="79"/>
      <c r="G16" s="79"/>
      <c r="H16" s="79"/>
      <c r="I16" s="79"/>
      <c r="J16" s="79"/>
      <c r="K16" s="79"/>
      <c r="L16" s="79"/>
      <c r="M16" s="82"/>
    </row>
    <row r="17" spans="1:13" ht="20.25" customHeight="1">
      <c r="A17" s="321"/>
      <c r="B17" s="83" t="s">
        <v>8</v>
      </c>
      <c r="C17" s="84" t="s">
        <v>103</v>
      </c>
      <c r="D17" s="83" t="s">
        <v>5</v>
      </c>
      <c r="E17" s="85">
        <v>7132210007</v>
      </c>
      <c r="F17" s="85">
        <v>34192.269999999997</v>
      </c>
      <c r="G17" s="86">
        <v>1432.5</v>
      </c>
      <c r="H17" s="86">
        <v>42037.23</v>
      </c>
      <c r="I17" s="92" t="s">
        <v>707</v>
      </c>
      <c r="J17" s="86"/>
      <c r="K17" s="93"/>
      <c r="L17" s="92" t="s">
        <v>707</v>
      </c>
      <c r="M17" s="94"/>
    </row>
    <row r="18" spans="1:13" ht="20.25" customHeight="1">
      <c r="A18" s="321"/>
      <c r="B18" s="83" t="s">
        <v>11</v>
      </c>
      <c r="C18" s="84" t="s">
        <v>104</v>
      </c>
      <c r="D18" s="83" t="s">
        <v>5</v>
      </c>
      <c r="E18" s="85">
        <v>7132210008</v>
      </c>
      <c r="F18" s="85">
        <v>41503.39</v>
      </c>
      <c r="G18" s="86">
        <v>1432.5</v>
      </c>
      <c r="H18" s="86">
        <v>50664.35</v>
      </c>
      <c r="I18" s="92" t="s">
        <v>707</v>
      </c>
      <c r="J18" s="94"/>
      <c r="K18" s="94"/>
      <c r="L18" s="92" t="s">
        <v>707</v>
      </c>
      <c r="M18" s="94"/>
    </row>
    <row r="19" spans="1:13" ht="20.25" customHeight="1">
      <c r="A19" s="321"/>
      <c r="B19" s="83" t="s">
        <v>32</v>
      </c>
      <c r="C19" s="84" t="s">
        <v>105</v>
      </c>
      <c r="D19" s="83" t="s">
        <v>5</v>
      </c>
      <c r="E19" s="85">
        <v>7132210009</v>
      </c>
      <c r="F19" s="86">
        <v>69940.899999999994</v>
      </c>
      <c r="G19" s="86">
        <v>1910</v>
      </c>
      <c r="H19" s="88">
        <v>84784.06</v>
      </c>
      <c r="I19" s="92" t="s">
        <v>707</v>
      </c>
      <c r="J19" s="94"/>
      <c r="K19" s="94"/>
      <c r="L19" s="92" t="s">
        <v>707</v>
      </c>
      <c r="M19" s="94"/>
    </row>
    <row r="20" spans="1:13" ht="20.25" customHeight="1">
      <c r="A20" s="321"/>
      <c r="B20" s="83" t="s">
        <v>15</v>
      </c>
      <c r="C20" s="84" t="s">
        <v>106</v>
      </c>
      <c r="D20" s="83" t="s">
        <v>5</v>
      </c>
      <c r="E20" s="85">
        <v>7132210010</v>
      </c>
      <c r="F20" s="85">
        <v>97369.66</v>
      </c>
      <c r="G20" s="86">
        <v>2387.5</v>
      </c>
      <c r="H20" s="86">
        <v>117713.45</v>
      </c>
      <c r="I20" s="92" t="s">
        <v>707</v>
      </c>
      <c r="J20" s="94"/>
      <c r="K20" s="94"/>
      <c r="L20" s="92" t="s">
        <v>707</v>
      </c>
      <c r="M20" s="94"/>
    </row>
    <row r="21" spans="1:13" ht="38.25" customHeight="1">
      <c r="A21" s="321"/>
      <c r="B21" s="83" t="s">
        <v>88</v>
      </c>
      <c r="C21" s="84" t="s">
        <v>107</v>
      </c>
      <c r="D21" s="83" t="s">
        <v>5</v>
      </c>
      <c r="E21" s="85">
        <v>7132210011</v>
      </c>
      <c r="F21" s="85">
        <v>171489.73</v>
      </c>
      <c r="G21" s="86">
        <v>3342.5</v>
      </c>
      <c r="H21" s="86">
        <v>206302.03</v>
      </c>
      <c r="I21" s="92" t="s">
        <v>707</v>
      </c>
      <c r="J21" s="94"/>
      <c r="K21" s="94"/>
      <c r="L21" s="92" t="s">
        <v>707</v>
      </c>
      <c r="M21" s="94"/>
    </row>
    <row r="22" spans="1:13" ht="18.75" customHeight="1">
      <c r="A22" s="317">
        <v>3</v>
      </c>
      <c r="B22" s="95"/>
      <c r="C22" s="91" t="s">
        <v>113</v>
      </c>
      <c r="D22" s="96"/>
      <c r="E22" s="96"/>
      <c r="F22" s="96"/>
      <c r="G22" s="96"/>
      <c r="H22" s="96"/>
      <c r="I22" s="96"/>
      <c r="J22" s="96"/>
      <c r="K22" s="96"/>
      <c r="L22" s="96"/>
      <c r="M22" s="89"/>
    </row>
    <row r="23" spans="1:13" ht="18.75" customHeight="1">
      <c r="A23" s="318"/>
      <c r="B23" s="83" t="s">
        <v>11</v>
      </c>
      <c r="C23" s="84" t="s">
        <v>115</v>
      </c>
      <c r="D23" s="83" t="s">
        <v>5</v>
      </c>
      <c r="E23" s="97">
        <v>7132220095</v>
      </c>
      <c r="F23" s="88">
        <v>1622172.8</v>
      </c>
      <c r="G23" s="88">
        <v>47750</v>
      </c>
      <c r="H23" s="86">
        <v>1970508.9</v>
      </c>
      <c r="I23" s="86">
        <v>1875333.9</v>
      </c>
      <c r="J23" s="86">
        <v>23875</v>
      </c>
      <c r="K23" s="86">
        <f>(I23+J23)*0.18</f>
        <v>341857.60199999996</v>
      </c>
      <c r="L23" s="86">
        <f>I23+J23+K23</f>
        <v>2241066.5019999999</v>
      </c>
      <c r="M23" s="87">
        <v>0.18</v>
      </c>
    </row>
    <row r="24" spans="1:13" ht="18.75" customHeight="1">
      <c r="A24" s="319"/>
      <c r="B24" s="83" t="s">
        <v>32</v>
      </c>
      <c r="C24" s="84" t="s">
        <v>116</v>
      </c>
      <c r="D24" s="83" t="s">
        <v>5</v>
      </c>
      <c r="E24" s="97">
        <v>7132220097</v>
      </c>
      <c r="F24" s="88">
        <v>2340920.14</v>
      </c>
      <c r="G24" s="88">
        <v>47750</v>
      </c>
      <c r="H24" s="86">
        <v>2818630.77</v>
      </c>
      <c r="I24" s="86">
        <v>2634740.21</v>
      </c>
      <c r="J24" s="86">
        <v>47750</v>
      </c>
      <c r="K24" s="86">
        <f>(I24+J24)*0.18</f>
        <v>482848.2378</v>
      </c>
      <c r="L24" s="86">
        <f>I24+J24+K24</f>
        <v>3165338.4478000002</v>
      </c>
      <c r="M24" s="87">
        <v>0.18</v>
      </c>
    </row>
    <row r="25" spans="1:13" ht="18" customHeight="1">
      <c r="A25" s="317">
        <v>4</v>
      </c>
      <c r="B25" s="98"/>
      <c r="C25" s="91" t="s">
        <v>117</v>
      </c>
      <c r="D25" s="96"/>
      <c r="E25" s="96"/>
      <c r="F25" s="96"/>
      <c r="G25" s="96"/>
      <c r="H25" s="96"/>
      <c r="I25" s="96"/>
      <c r="J25" s="96"/>
      <c r="K25" s="96"/>
      <c r="L25" s="96"/>
      <c r="M25" s="89"/>
    </row>
    <row r="26" spans="1:13" ht="17.25" customHeight="1">
      <c r="A26" s="318"/>
      <c r="B26" s="83" t="s">
        <v>8</v>
      </c>
      <c r="C26" s="84" t="s">
        <v>118</v>
      </c>
      <c r="D26" s="83" t="s">
        <v>5</v>
      </c>
      <c r="E26" s="97">
        <v>7130840029</v>
      </c>
      <c r="F26" s="97">
        <v>351.13</v>
      </c>
      <c r="G26" s="88">
        <v>0</v>
      </c>
      <c r="H26" s="86">
        <v>414.33</v>
      </c>
      <c r="I26" s="86">
        <v>427.68</v>
      </c>
      <c r="J26" s="86">
        <v>0</v>
      </c>
      <c r="K26" s="86">
        <v>76.98</v>
      </c>
      <c r="L26" s="86">
        <v>504.66</v>
      </c>
      <c r="M26" s="87">
        <v>0.18</v>
      </c>
    </row>
    <row r="27" spans="1:13" ht="17.25" customHeight="1">
      <c r="A27" s="319"/>
      <c r="B27" s="83" t="s">
        <v>11</v>
      </c>
      <c r="C27" s="84" t="s">
        <v>119</v>
      </c>
      <c r="D27" s="83" t="s">
        <v>5</v>
      </c>
      <c r="E27" s="97">
        <v>7130840021</v>
      </c>
      <c r="F27" s="88">
        <v>3135.3</v>
      </c>
      <c r="G27" s="88">
        <v>0</v>
      </c>
      <c r="H27" s="86">
        <v>3699.65</v>
      </c>
      <c r="I27" s="86">
        <v>3852.47</v>
      </c>
      <c r="J27" s="86">
        <v>0</v>
      </c>
      <c r="K27" s="86">
        <v>693.44</v>
      </c>
      <c r="L27" s="86">
        <v>4545.92</v>
      </c>
      <c r="M27" s="87">
        <v>0.18</v>
      </c>
    </row>
    <row r="28" spans="1:13" ht="18" customHeight="1">
      <c r="A28" s="317">
        <v>5</v>
      </c>
      <c r="B28" s="83"/>
      <c r="C28" s="91" t="s">
        <v>120</v>
      </c>
      <c r="D28" s="96"/>
      <c r="E28" s="96"/>
      <c r="F28" s="96"/>
      <c r="G28" s="96"/>
      <c r="H28" s="96"/>
      <c r="I28" s="96"/>
      <c r="J28" s="96"/>
      <c r="K28" s="96"/>
      <c r="L28" s="96"/>
      <c r="M28" s="99"/>
    </row>
    <row r="29" spans="1:13" ht="20.25" customHeight="1">
      <c r="A29" s="318"/>
      <c r="B29" s="100" t="s">
        <v>27</v>
      </c>
      <c r="C29" s="77" t="s">
        <v>121</v>
      </c>
      <c r="D29" s="101"/>
      <c r="E29" s="101"/>
      <c r="F29" s="101"/>
      <c r="G29" s="101"/>
      <c r="H29" s="101"/>
      <c r="I29" s="101"/>
      <c r="J29" s="101"/>
      <c r="K29" s="101"/>
      <c r="L29" s="101"/>
      <c r="M29" s="99"/>
    </row>
    <row r="30" spans="1:13" ht="17.25" customHeight="1">
      <c r="A30" s="318"/>
      <c r="B30" s="83" t="s">
        <v>8</v>
      </c>
      <c r="C30" s="84" t="s">
        <v>122</v>
      </c>
      <c r="D30" s="83" t="s">
        <v>5</v>
      </c>
      <c r="E30" s="97">
        <v>7131930412</v>
      </c>
      <c r="F30" s="97">
        <v>866.67</v>
      </c>
      <c r="G30" s="97">
        <v>47.75</v>
      </c>
      <c r="H30" s="86">
        <v>1079.02</v>
      </c>
      <c r="I30" s="86">
        <v>960</v>
      </c>
      <c r="J30" s="86">
        <v>38.200000000000003</v>
      </c>
      <c r="K30" s="86">
        <f>+(I30+J30)*0.18</f>
        <v>179.67599999999999</v>
      </c>
      <c r="L30" s="86">
        <f>SUM(I30:K30)</f>
        <v>1177.876</v>
      </c>
      <c r="M30" s="102" t="s">
        <v>700</v>
      </c>
    </row>
    <row r="31" spans="1:13" ht="17.25" customHeight="1">
      <c r="A31" s="318"/>
      <c r="B31" s="83" t="s">
        <v>11</v>
      </c>
      <c r="C31" s="84" t="s">
        <v>123</v>
      </c>
      <c r="D31" s="83" t="s">
        <v>5</v>
      </c>
      <c r="E31" s="97">
        <v>7131930415</v>
      </c>
      <c r="F31" s="88">
        <v>2160</v>
      </c>
      <c r="G31" s="88">
        <v>286.5</v>
      </c>
      <c r="H31" s="86">
        <v>2886.87</v>
      </c>
      <c r="I31" s="86">
        <v>2160</v>
      </c>
      <c r="J31" s="86">
        <v>286.5</v>
      </c>
      <c r="K31" s="86">
        <f>+(I31+J31)*0.18</f>
        <v>440.37</v>
      </c>
      <c r="L31" s="86">
        <f>SUM(I31:K31)</f>
        <v>2886.87</v>
      </c>
      <c r="M31" s="102" t="s">
        <v>700</v>
      </c>
    </row>
    <row r="32" spans="1:13" ht="20.25" customHeight="1">
      <c r="A32" s="317">
        <v>6</v>
      </c>
      <c r="B32" s="95"/>
      <c r="C32" s="91" t="s">
        <v>7</v>
      </c>
      <c r="D32" s="96"/>
      <c r="E32" s="96"/>
      <c r="F32" s="96"/>
      <c r="G32" s="96"/>
      <c r="H32" s="96"/>
      <c r="I32" s="96"/>
      <c r="J32" s="96"/>
      <c r="K32" s="96"/>
      <c r="L32" s="96"/>
      <c r="M32" s="99"/>
    </row>
    <row r="33" spans="1:13" ht="17.25" customHeight="1">
      <c r="A33" s="318"/>
      <c r="B33" s="83" t="s">
        <v>8</v>
      </c>
      <c r="C33" s="84" t="s">
        <v>9</v>
      </c>
      <c r="D33" s="83" t="s">
        <v>10</v>
      </c>
      <c r="E33" s="97">
        <v>7132457798</v>
      </c>
      <c r="F33" s="88">
        <v>37751.199999999997</v>
      </c>
      <c r="G33" s="88">
        <v>3724.5</v>
      </c>
      <c r="H33" s="86">
        <v>48941.33</v>
      </c>
      <c r="I33" s="86">
        <v>54000</v>
      </c>
      <c r="J33" s="86">
        <v>3500</v>
      </c>
      <c r="K33" s="86">
        <f>(I33+J33)*0.18</f>
        <v>10350</v>
      </c>
      <c r="L33" s="86">
        <f>I33+J33+K33</f>
        <v>67850</v>
      </c>
      <c r="M33" s="87">
        <v>0.18</v>
      </c>
    </row>
    <row r="34" spans="1:13" ht="17.25" customHeight="1">
      <c r="A34" s="319"/>
      <c r="B34" s="83" t="s">
        <v>11</v>
      </c>
      <c r="C34" s="84" t="s">
        <v>12</v>
      </c>
      <c r="D34" s="83" t="s">
        <v>10</v>
      </c>
      <c r="E34" s="97">
        <v>7132457798</v>
      </c>
      <c r="F34" s="88">
        <v>31851.200000000001</v>
      </c>
      <c r="G34" s="88">
        <v>3724.5</v>
      </c>
      <c r="H34" s="86">
        <v>41979.33</v>
      </c>
      <c r="I34" s="86">
        <v>46000</v>
      </c>
      <c r="J34" s="86">
        <v>3500</v>
      </c>
      <c r="K34" s="86">
        <f>(I34+J34)*0.18</f>
        <v>8910</v>
      </c>
      <c r="L34" s="86">
        <f>I34+J34+K34</f>
        <v>58410</v>
      </c>
      <c r="M34" s="87">
        <v>0.18</v>
      </c>
    </row>
    <row r="35" spans="1:13" ht="18.75" customHeight="1">
      <c r="A35" s="95"/>
      <c r="B35" s="83"/>
      <c r="C35" s="91" t="s">
        <v>13</v>
      </c>
      <c r="D35" s="96"/>
      <c r="E35" s="96"/>
      <c r="F35" s="96"/>
      <c r="G35" s="96"/>
      <c r="H35" s="96"/>
      <c r="I35" s="96"/>
      <c r="J35" s="96"/>
      <c r="K35" s="96"/>
      <c r="L35" s="96"/>
      <c r="M35" s="99"/>
    </row>
    <row r="36" spans="1:13" ht="18.75" customHeight="1">
      <c r="A36" s="317">
        <v>8</v>
      </c>
      <c r="B36" s="83"/>
      <c r="C36" s="103" t="s">
        <v>130</v>
      </c>
      <c r="D36" s="104"/>
      <c r="E36" s="105"/>
      <c r="F36" s="105"/>
      <c r="G36" s="105"/>
      <c r="H36" s="104"/>
      <c r="I36" s="104"/>
      <c r="J36" s="104"/>
      <c r="K36" s="104"/>
      <c r="L36" s="104"/>
      <c r="M36" s="99"/>
    </row>
    <row r="37" spans="1:13" ht="17.25" customHeight="1">
      <c r="A37" s="318"/>
      <c r="B37" s="83" t="s">
        <v>125</v>
      </c>
      <c r="C37" s="84" t="s">
        <v>131</v>
      </c>
      <c r="D37" s="83" t="s">
        <v>127</v>
      </c>
      <c r="E37" s="97">
        <v>7130601958</v>
      </c>
      <c r="F37" s="88">
        <v>26429</v>
      </c>
      <c r="G37" s="88">
        <v>974.1</v>
      </c>
      <c r="H37" s="86">
        <v>32335.66</v>
      </c>
      <c r="I37" s="88">
        <v>38177</v>
      </c>
      <c r="J37" s="86">
        <v>1148.32</v>
      </c>
      <c r="K37" s="86">
        <v>7078.56</v>
      </c>
      <c r="L37" s="86">
        <v>46403.88</v>
      </c>
      <c r="M37" s="87">
        <v>0.18</v>
      </c>
    </row>
    <row r="38" spans="1:13" ht="17.25" customHeight="1">
      <c r="A38" s="319"/>
      <c r="B38" s="83" t="s">
        <v>128</v>
      </c>
      <c r="C38" s="84" t="s">
        <v>132</v>
      </c>
      <c r="D38" s="83" t="s">
        <v>127</v>
      </c>
      <c r="E38" s="97">
        <v>7130601965</v>
      </c>
      <c r="F38" s="88">
        <v>26429</v>
      </c>
      <c r="G38" s="88">
        <v>974.1</v>
      </c>
      <c r="H38" s="86">
        <v>32335.66</v>
      </c>
      <c r="I38" s="88">
        <v>38177</v>
      </c>
      <c r="J38" s="86">
        <v>1148.32</v>
      </c>
      <c r="K38" s="86">
        <v>7078.56</v>
      </c>
      <c r="L38" s="86">
        <v>46403.88</v>
      </c>
      <c r="M38" s="87">
        <v>0.18</v>
      </c>
    </row>
    <row r="39" spans="1:13" ht="20.25" customHeight="1">
      <c r="A39" s="317">
        <v>15</v>
      </c>
      <c r="B39" s="95"/>
      <c r="C39" s="91" t="s">
        <v>154</v>
      </c>
      <c r="D39" s="96"/>
      <c r="E39" s="91"/>
      <c r="F39" s="91"/>
      <c r="G39" s="91"/>
      <c r="H39" s="96"/>
      <c r="I39" s="96"/>
      <c r="J39" s="96"/>
      <c r="K39" s="96"/>
      <c r="L39" s="96"/>
      <c r="M39" s="99"/>
    </row>
    <row r="40" spans="1:13" ht="27.75" customHeight="1">
      <c r="A40" s="318"/>
      <c r="B40" s="83" t="s">
        <v>8</v>
      </c>
      <c r="C40" s="84" t="s">
        <v>155</v>
      </c>
      <c r="D40" s="83" t="s">
        <v>84</v>
      </c>
      <c r="E40" s="83">
        <v>7130830053</v>
      </c>
      <c r="F40" s="88">
        <v>9850</v>
      </c>
      <c r="G40" s="88">
        <v>171.9</v>
      </c>
      <c r="H40" s="88">
        <v>11825.84</v>
      </c>
      <c r="I40" s="86">
        <v>11863.29</v>
      </c>
      <c r="J40" s="86">
        <v>57.3</v>
      </c>
      <c r="K40" s="86">
        <f t="shared" ref="K40:K45" si="1">+(I40+J40)*0.18</f>
        <v>2145.7062000000001</v>
      </c>
      <c r="L40" s="86">
        <f t="shared" ref="L40:L45" si="2">SUM(I40:K40)</f>
        <v>14066.296200000001</v>
      </c>
      <c r="M40" s="102" t="s">
        <v>700</v>
      </c>
    </row>
    <row r="41" spans="1:13" ht="27.75" customHeight="1">
      <c r="A41" s="318"/>
      <c r="B41" s="83" t="s">
        <v>11</v>
      </c>
      <c r="C41" s="84" t="s">
        <v>156</v>
      </c>
      <c r="D41" s="83" t="s">
        <v>84</v>
      </c>
      <c r="E41" s="83">
        <v>7130830055</v>
      </c>
      <c r="F41" s="88">
        <v>14759.15</v>
      </c>
      <c r="G41" s="83">
        <v>90.73</v>
      </c>
      <c r="H41" s="88">
        <v>17522.849999999999</v>
      </c>
      <c r="I41" s="86">
        <v>17370.82</v>
      </c>
      <c r="J41" s="86">
        <v>90.73</v>
      </c>
      <c r="K41" s="86">
        <f t="shared" si="1"/>
        <v>3143.0789999999997</v>
      </c>
      <c r="L41" s="86">
        <f t="shared" si="2"/>
        <v>20604.629000000001</v>
      </c>
      <c r="M41" s="102" t="s">
        <v>700</v>
      </c>
    </row>
    <row r="42" spans="1:13" ht="27.75" customHeight="1">
      <c r="A42" s="318"/>
      <c r="B42" s="95" t="s">
        <v>32</v>
      </c>
      <c r="C42" s="106" t="s">
        <v>157</v>
      </c>
      <c r="D42" s="95" t="s">
        <v>84</v>
      </c>
      <c r="E42" s="97">
        <v>7130830057</v>
      </c>
      <c r="F42" s="88">
        <v>23480</v>
      </c>
      <c r="G42" s="97">
        <v>520.48</v>
      </c>
      <c r="H42" s="88">
        <v>28320.560000000001</v>
      </c>
      <c r="I42" s="86">
        <v>28602.85</v>
      </c>
      <c r="J42" s="86">
        <v>167.13</v>
      </c>
      <c r="K42" s="86">
        <f t="shared" si="1"/>
        <v>5178.5963999999994</v>
      </c>
      <c r="L42" s="86">
        <f t="shared" si="2"/>
        <v>33948.576399999998</v>
      </c>
      <c r="M42" s="102" t="s">
        <v>700</v>
      </c>
    </row>
    <row r="43" spans="1:13" ht="27.75" customHeight="1">
      <c r="A43" s="318"/>
      <c r="B43" s="83" t="s">
        <v>15</v>
      </c>
      <c r="C43" s="84" t="s">
        <v>158</v>
      </c>
      <c r="D43" s="83" t="s">
        <v>84</v>
      </c>
      <c r="E43" s="97">
        <v>7130830060</v>
      </c>
      <c r="F43" s="88">
        <v>34950</v>
      </c>
      <c r="G43" s="88">
        <v>458.4</v>
      </c>
      <c r="H43" s="88">
        <v>41781.910000000003</v>
      </c>
      <c r="I43" s="86">
        <v>42339.33</v>
      </c>
      <c r="J43" s="86">
        <v>191</v>
      </c>
      <c r="K43" s="86">
        <f t="shared" si="1"/>
        <v>7655.4593999999997</v>
      </c>
      <c r="L43" s="86">
        <f t="shared" si="2"/>
        <v>50185.789400000001</v>
      </c>
      <c r="M43" s="102" t="s">
        <v>700</v>
      </c>
    </row>
    <row r="44" spans="1:13" ht="27.75" customHeight="1">
      <c r="A44" s="318"/>
      <c r="B44" s="83" t="s">
        <v>88</v>
      </c>
      <c r="C44" s="84" t="s">
        <v>159</v>
      </c>
      <c r="D44" s="83" t="s">
        <v>84</v>
      </c>
      <c r="E44" s="97">
        <v>7130830063</v>
      </c>
      <c r="F44" s="88">
        <v>46395</v>
      </c>
      <c r="G44" s="97">
        <v>563.45000000000005</v>
      </c>
      <c r="H44" s="88">
        <v>55410.97</v>
      </c>
      <c r="I44" s="86">
        <v>55802.52</v>
      </c>
      <c r="J44" s="86">
        <v>286.5</v>
      </c>
      <c r="K44" s="86">
        <f t="shared" si="1"/>
        <v>10096.023599999999</v>
      </c>
      <c r="L44" s="86">
        <f t="shared" si="2"/>
        <v>66185.04359999999</v>
      </c>
      <c r="M44" s="102" t="s">
        <v>700</v>
      </c>
    </row>
    <row r="45" spans="1:13" ht="27.75" customHeight="1">
      <c r="A45" s="319"/>
      <c r="B45" s="83" t="s">
        <v>108</v>
      </c>
      <c r="C45" s="84" t="s">
        <v>160</v>
      </c>
      <c r="D45" s="83" t="s">
        <v>84</v>
      </c>
      <c r="E45" s="83">
        <v>7130830070</v>
      </c>
      <c r="F45" s="88">
        <v>105855.4</v>
      </c>
      <c r="G45" s="88">
        <v>477.5</v>
      </c>
      <c r="H45" s="88">
        <v>125472.76</v>
      </c>
      <c r="I45" s="86">
        <v>124427.3</v>
      </c>
      <c r="J45" s="86">
        <v>477.5</v>
      </c>
      <c r="K45" s="86">
        <f t="shared" si="1"/>
        <v>22482.864000000001</v>
      </c>
      <c r="L45" s="86">
        <f t="shared" si="2"/>
        <v>147387.66399999999</v>
      </c>
      <c r="M45" s="102" t="s">
        <v>700</v>
      </c>
    </row>
    <row r="46" spans="1:13" ht="18.75" customHeight="1">
      <c r="A46" s="95"/>
      <c r="B46" s="95"/>
      <c r="C46" s="91" t="s">
        <v>17</v>
      </c>
      <c r="D46" s="96"/>
      <c r="E46" s="96"/>
      <c r="F46" s="96"/>
      <c r="G46" s="96"/>
      <c r="H46" s="96"/>
      <c r="I46" s="96"/>
      <c r="J46" s="96"/>
      <c r="K46" s="96"/>
      <c r="L46" s="96"/>
      <c r="M46" s="99"/>
    </row>
    <row r="47" spans="1:13" ht="18" customHeight="1">
      <c r="A47" s="317">
        <v>18</v>
      </c>
      <c r="B47" s="100" t="s">
        <v>27</v>
      </c>
      <c r="C47" s="91" t="s">
        <v>90</v>
      </c>
      <c r="D47" s="96"/>
      <c r="E47" s="96"/>
      <c r="F47" s="96"/>
      <c r="G47" s="96"/>
      <c r="H47" s="96"/>
      <c r="I47" s="96"/>
      <c r="J47" s="96"/>
      <c r="K47" s="96"/>
      <c r="L47" s="96"/>
      <c r="M47" s="99"/>
    </row>
    <row r="48" spans="1:13" ht="16.5" customHeight="1">
      <c r="A48" s="318"/>
      <c r="B48" s="83" t="s">
        <v>8</v>
      </c>
      <c r="C48" s="84" t="s">
        <v>86</v>
      </c>
      <c r="D48" s="83" t="s">
        <v>5</v>
      </c>
      <c r="E48" s="97">
        <v>7130820030</v>
      </c>
      <c r="F48" s="97">
        <v>201.25</v>
      </c>
      <c r="G48" s="88">
        <v>19.100000000000001</v>
      </c>
      <c r="H48" s="97">
        <v>260.01</v>
      </c>
      <c r="I48" s="88">
        <v>173.34</v>
      </c>
      <c r="J48" s="88">
        <v>9.5500000000000007</v>
      </c>
      <c r="K48" s="88">
        <v>32.92</v>
      </c>
      <c r="L48" s="88">
        <f>I48+J48+K48</f>
        <v>215.81</v>
      </c>
      <c r="M48" s="102" t="s">
        <v>700</v>
      </c>
    </row>
    <row r="49" spans="1:13" ht="16.5" customHeight="1">
      <c r="A49" s="318"/>
      <c r="B49" s="83" t="s">
        <v>32</v>
      </c>
      <c r="C49" s="84" t="s">
        <v>87</v>
      </c>
      <c r="D49" s="83" t="s">
        <v>5</v>
      </c>
      <c r="E49" s="97">
        <v>7130820075</v>
      </c>
      <c r="F49" s="97">
        <v>182.46</v>
      </c>
      <c r="G49" s="97">
        <v>21.01</v>
      </c>
      <c r="H49" s="97">
        <v>240.09</v>
      </c>
      <c r="I49" s="88">
        <v>164.44</v>
      </c>
      <c r="J49" s="88">
        <v>20.05</v>
      </c>
      <c r="K49" s="88">
        <v>33.21</v>
      </c>
      <c r="L49" s="88">
        <f>I49+J49+K49</f>
        <v>217.70000000000002</v>
      </c>
      <c r="M49" s="102" t="s">
        <v>700</v>
      </c>
    </row>
    <row r="50" spans="1:13" ht="18" customHeight="1">
      <c r="A50" s="318"/>
      <c r="B50" s="83" t="s">
        <v>108</v>
      </c>
      <c r="C50" s="91" t="s">
        <v>176</v>
      </c>
      <c r="D50" s="103"/>
      <c r="E50" s="103"/>
      <c r="F50" s="79"/>
      <c r="G50" s="79"/>
      <c r="H50" s="103"/>
      <c r="I50" s="103"/>
      <c r="J50" s="103"/>
      <c r="K50" s="103"/>
      <c r="L50" s="103"/>
      <c r="M50" s="103"/>
    </row>
    <row r="51" spans="1:13" ht="28.5" customHeight="1">
      <c r="A51" s="318"/>
      <c r="B51" s="83" t="s">
        <v>125</v>
      </c>
      <c r="C51" s="84" t="s">
        <v>177</v>
      </c>
      <c r="D51" s="83" t="s">
        <v>5</v>
      </c>
      <c r="E51" s="97">
        <v>7130820106</v>
      </c>
      <c r="F51" s="97">
        <v>8.1300000000000008</v>
      </c>
      <c r="G51" s="97">
        <v>1.86</v>
      </c>
      <c r="H51" s="97">
        <v>11.79</v>
      </c>
      <c r="I51" s="88">
        <v>9</v>
      </c>
      <c r="J51" s="88">
        <v>1.86</v>
      </c>
      <c r="K51" s="88">
        <v>1.96</v>
      </c>
      <c r="L51" s="88">
        <v>12.82</v>
      </c>
      <c r="M51" s="102" t="s">
        <v>700</v>
      </c>
    </row>
    <row r="52" spans="1:13" ht="20.25" customHeight="1">
      <c r="A52" s="318"/>
      <c r="B52" s="100" t="s">
        <v>18</v>
      </c>
      <c r="C52" s="91" t="s">
        <v>19</v>
      </c>
      <c r="D52" s="91"/>
      <c r="E52" s="91"/>
      <c r="F52" s="91"/>
      <c r="G52" s="91"/>
      <c r="H52" s="91"/>
      <c r="I52" s="91"/>
      <c r="J52" s="91"/>
      <c r="K52" s="91"/>
      <c r="L52" s="91"/>
      <c r="M52" s="87"/>
    </row>
    <row r="53" spans="1:13" ht="16.5" customHeight="1">
      <c r="A53" s="318"/>
      <c r="B53" s="83" t="s">
        <v>8</v>
      </c>
      <c r="C53" s="107" t="s">
        <v>20</v>
      </c>
      <c r="D53" s="88" t="s">
        <v>5</v>
      </c>
      <c r="E53" s="85">
        <v>7130820011</v>
      </c>
      <c r="F53" s="85">
        <v>201.05</v>
      </c>
      <c r="G53" s="85">
        <v>6.35</v>
      </c>
      <c r="H53" s="88">
        <v>244.73</v>
      </c>
      <c r="I53" s="86">
        <v>193.77</v>
      </c>
      <c r="J53" s="86">
        <v>6.68</v>
      </c>
      <c r="K53" s="86">
        <v>36.08</v>
      </c>
      <c r="L53" s="86">
        <f>I53+J53+K53</f>
        <v>236.53000000000003</v>
      </c>
      <c r="M53" s="87">
        <v>0.18</v>
      </c>
    </row>
    <row r="54" spans="1:13" ht="16.5" customHeight="1">
      <c r="A54" s="318"/>
      <c r="B54" s="83" t="s">
        <v>32</v>
      </c>
      <c r="C54" s="107" t="s">
        <v>22</v>
      </c>
      <c r="D54" s="88" t="s">
        <v>5</v>
      </c>
      <c r="E54" s="85">
        <v>7130820010</v>
      </c>
      <c r="F54" s="85">
        <v>114.94</v>
      </c>
      <c r="G54" s="85">
        <v>4.78</v>
      </c>
      <c r="H54" s="88">
        <v>141.27000000000001</v>
      </c>
      <c r="I54" s="86">
        <v>106</v>
      </c>
      <c r="J54" s="86">
        <v>2.86</v>
      </c>
      <c r="K54" s="86">
        <v>19.59</v>
      </c>
      <c r="L54" s="86">
        <f>I54+J54+K54</f>
        <v>128.44999999999999</v>
      </c>
      <c r="M54" s="87">
        <v>0.18</v>
      </c>
    </row>
    <row r="55" spans="1:13" ht="16.5" customHeight="1">
      <c r="A55" s="318"/>
      <c r="B55" s="83" t="s">
        <v>15</v>
      </c>
      <c r="C55" s="107" t="s">
        <v>182</v>
      </c>
      <c r="D55" s="88" t="s">
        <v>5</v>
      </c>
      <c r="E55" s="85">
        <v>7130820009</v>
      </c>
      <c r="F55" s="85">
        <v>300.98</v>
      </c>
      <c r="G55" s="85">
        <v>9.69</v>
      </c>
      <c r="H55" s="88">
        <v>366.59</v>
      </c>
      <c r="I55" s="86">
        <v>290.67</v>
      </c>
      <c r="J55" s="86">
        <v>7.16</v>
      </c>
      <c r="K55" s="86">
        <v>53.61</v>
      </c>
      <c r="L55" s="86">
        <f>I55+J55+K55</f>
        <v>351.44000000000005</v>
      </c>
      <c r="M55" s="87">
        <v>0.18</v>
      </c>
    </row>
    <row r="56" spans="1:13" ht="16.5" customHeight="1">
      <c r="A56" s="319"/>
      <c r="B56" s="83" t="s">
        <v>88</v>
      </c>
      <c r="C56" s="107" t="s">
        <v>183</v>
      </c>
      <c r="D56" s="88" t="s">
        <v>5</v>
      </c>
      <c r="E56" s="85">
        <v>7130820008</v>
      </c>
      <c r="F56" s="85">
        <v>119.36</v>
      </c>
      <c r="G56" s="85">
        <v>4.78</v>
      </c>
      <c r="H56" s="88">
        <v>146.49</v>
      </c>
      <c r="I56" s="86">
        <v>113.78</v>
      </c>
      <c r="J56" s="86">
        <v>6.68</v>
      </c>
      <c r="K56" s="86">
        <v>21.68</v>
      </c>
      <c r="L56" s="86">
        <f>I56+J56+K56</f>
        <v>142.14000000000001</v>
      </c>
      <c r="M56" s="87">
        <v>0.18</v>
      </c>
    </row>
    <row r="57" spans="1:13" ht="27.75" customHeight="1">
      <c r="A57" s="317">
        <v>23</v>
      </c>
      <c r="B57" s="83"/>
      <c r="C57" s="91" t="s">
        <v>196</v>
      </c>
      <c r="D57" s="79"/>
      <c r="E57" s="79"/>
      <c r="F57" s="79"/>
      <c r="G57" s="79"/>
      <c r="H57" s="79"/>
      <c r="I57" s="79"/>
      <c r="J57" s="79"/>
      <c r="K57" s="79"/>
      <c r="L57" s="79"/>
      <c r="M57" s="99"/>
    </row>
    <row r="58" spans="1:13" ht="20.25" customHeight="1">
      <c r="A58" s="318"/>
      <c r="B58" s="100" t="s">
        <v>27</v>
      </c>
      <c r="C58" s="77" t="s">
        <v>121</v>
      </c>
      <c r="D58" s="101"/>
      <c r="E58" s="101"/>
      <c r="F58" s="101"/>
      <c r="G58" s="101"/>
      <c r="H58" s="101"/>
      <c r="I58" s="101"/>
      <c r="J58" s="101"/>
      <c r="K58" s="101"/>
      <c r="L58" s="101"/>
      <c r="M58" s="99"/>
    </row>
    <row r="59" spans="1:13" ht="20.25" customHeight="1">
      <c r="A59" s="318"/>
      <c r="B59" s="83" t="s">
        <v>8</v>
      </c>
      <c r="C59" s="84" t="s">
        <v>122</v>
      </c>
      <c r="D59" s="83" t="s">
        <v>5</v>
      </c>
      <c r="E59" s="97">
        <v>7131930221</v>
      </c>
      <c r="F59" s="97">
        <v>7288.89</v>
      </c>
      <c r="G59" s="97">
        <v>214.88</v>
      </c>
      <c r="H59" s="88">
        <v>8854.44</v>
      </c>
      <c r="I59" s="86">
        <v>7000</v>
      </c>
      <c r="J59" s="86">
        <v>200</v>
      </c>
      <c r="K59" s="86">
        <f>+(I59+J59)*0.18</f>
        <v>1296</v>
      </c>
      <c r="L59" s="86">
        <f>SUM(I59:K59)</f>
        <v>8496</v>
      </c>
      <c r="M59" s="102" t="s">
        <v>700</v>
      </c>
    </row>
    <row r="60" spans="1:13" ht="20.25" customHeight="1">
      <c r="A60" s="319"/>
      <c r="B60" s="95" t="s">
        <v>11</v>
      </c>
      <c r="C60" s="84" t="s">
        <v>123</v>
      </c>
      <c r="D60" s="83" t="s">
        <v>5</v>
      </c>
      <c r="E60" s="97">
        <v>7131930321</v>
      </c>
      <c r="F60" s="97">
        <v>15640.89</v>
      </c>
      <c r="G60" s="97">
        <v>1188.98</v>
      </c>
      <c r="H60" s="88">
        <v>19859.240000000002</v>
      </c>
      <c r="I60" s="86">
        <v>15786</v>
      </c>
      <c r="J60" s="86">
        <v>200</v>
      </c>
      <c r="K60" s="86">
        <f>+(I60+J60)*0.18</f>
        <v>2877.48</v>
      </c>
      <c r="L60" s="86">
        <f>SUM(I60:K60)</f>
        <v>18863.48</v>
      </c>
      <c r="M60" s="102" t="s">
        <v>700</v>
      </c>
    </row>
    <row r="61" spans="1:13" ht="18.75" customHeight="1">
      <c r="A61" s="322">
        <v>36</v>
      </c>
      <c r="B61" s="83"/>
      <c r="C61" s="91" t="s">
        <v>729</v>
      </c>
      <c r="D61" s="103"/>
      <c r="E61" s="103"/>
      <c r="F61" s="103"/>
      <c r="G61" s="103"/>
      <c r="H61" s="108"/>
      <c r="I61" s="109"/>
      <c r="J61" s="109"/>
      <c r="K61" s="109"/>
      <c r="L61" s="108"/>
      <c r="M61" s="110"/>
    </row>
    <row r="62" spans="1:13" ht="16.5" customHeight="1">
      <c r="A62" s="322"/>
      <c r="B62" s="83" t="s">
        <v>15</v>
      </c>
      <c r="C62" s="84" t="s">
        <v>38</v>
      </c>
      <c r="D62" s="83" t="s">
        <v>5</v>
      </c>
      <c r="E62" s="97">
        <v>7131910656</v>
      </c>
      <c r="F62" s="88">
        <v>224</v>
      </c>
      <c r="G62" s="97">
        <v>20.49</v>
      </c>
      <c r="H62" s="88">
        <v>288.5</v>
      </c>
      <c r="I62" s="86">
        <v>193</v>
      </c>
      <c r="J62" s="86">
        <v>16</v>
      </c>
      <c r="K62" s="86">
        <f>+(I62+J62)*0.18</f>
        <v>37.619999999999997</v>
      </c>
      <c r="L62" s="86">
        <f>SUM(I62:K62)</f>
        <v>246.62</v>
      </c>
      <c r="M62" s="102" t="s">
        <v>700</v>
      </c>
    </row>
    <row r="63" spans="1:13" ht="16.5" customHeight="1">
      <c r="A63" s="322"/>
      <c r="B63" s="83" t="s">
        <v>88</v>
      </c>
      <c r="C63" s="84" t="s">
        <v>245</v>
      </c>
      <c r="D63" s="83" t="s">
        <v>5</v>
      </c>
      <c r="E63" s="97">
        <v>7131910657</v>
      </c>
      <c r="F63" s="97">
        <v>462.22</v>
      </c>
      <c r="G63" s="97">
        <v>24.45</v>
      </c>
      <c r="H63" s="88">
        <v>574.27</v>
      </c>
      <c r="I63" s="86">
        <v>390.5</v>
      </c>
      <c r="J63" s="86">
        <v>12</v>
      </c>
      <c r="K63" s="86">
        <f>+(I63+J63)*0.18</f>
        <v>72.45</v>
      </c>
      <c r="L63" s="86">
        <f>SUM(I63:K63)</f>
        <v>474.95</v>
      </c>
      <c r="M63" s="102" t="s">
        <v>700</v>
      </c>
    </row>
    <row r="64" spans="1:13" ht="16.5" customHeight="1">
      <c r="A64" s="322"/>
      <c r="B64" s="83" t="s">
        <v>108</v>
      </c>
      <c r="C64" s="84" t="s">
        <v>246</v>
      </c>
      <c r="D64" s="83" t="s">
        <v>5</v>
      </c>
      <c r="E64" s="97">
        <v>7131910658</v>
      </c>
      <c r="F64" s="97">
        <v>833.78</v>
      </c>
      <c r="G64" s="97">
        <v>20.28</v>
      </c>
      <c r="H64" s="88">
        <v>1007.79</v>
      </c>
      <c r="I64" s="86">
        <v>867.3</v>
      </c>
      <c r="J64" s="86">
        <v>24.5</v>
      </c>
      <c r="K64" s="86">
        <f>+(I64+J64)*0.18</f>
        <v>160.52399999999997</v>
      </c>
      <c r="L64" s="86">
        <f>SUM(I64:K64)</f>
        <v>1052.3239999999998</v>
      </c>
      <c r="M64" s="111" t="s">
        <v>700</v>
      </c>
    </row>
    <row r="65" spans="1:14" ht="18.75" customHeight="1">
      <c r="A65" s="322">
        <v>39</v>
      </c>
      <c r="B65" s="83"/>
      <c r="C65" s="91" t="s">
        <v>26</v>
      </c>
      <c r="D65" s="103"/>
      <c r="E65" s="103"/>
      <c r="F65" s="103"/>
      <c r="G65" s="103"/>
      <c r="H65" s="103"/>
      <c r="I65" s="103"/>
      <c r="J65" s="103"/>
      <c r="K65" s="103"/>
      <c r="L65" s="103"/>
      <c r="M65" s="87"/>
    </row>
    <row r="66" spans="1:14" ht="22.35" customHeight="1">
      <c r="A66" s="322"/>
      <c r="B66" s="100" t="s">
        <v>27</v>
      </c>
      <c r="C66" s="91" t="s">
        <v>28</v>
      </c>
      <c r="D66" s="103"/>
      <c r="E66" s="103"/>
      <c r="F66" s="103"/>
      <c r="G66" s="103"/>
      <c r="H66" s="103"/>
      <c r="I66" s="103"/>
      <c r="J66" s="103"/>
      <c r="K66" s="103"/>
      <c r="L66" s="103"/>
      <c r="M66" s="87"/>
    </row>
    <row r="67" spans="1:14" ht="16.5" customHeight="1">
      <c r="A67" s="322"/>
      <c r="B67" s="83" t="s">
        <v>8</v>
      </c>
      <c r="C67" s="84" t="s">
        <v>255</v>
      </c>
      <c r="D67" s="83" t="s">
        <v>29</v>
      </c>
      <c r="E67" s="97">
        <v>7130310652</v>
      </c>
      <c r="F67" s="97">
        <v>28009.040000000001</v>
      </c>
      <c r="G67" s="97">
        <v>826.31</v>
      </c>
      <c r="H67" s="88">
        <v>36909.25</v>
      </c>
      <c r="I67" s="86">
        <v>30728.2</v>
      </c>
      <c r="J67" s="86">
        <v>0</v>
      </c>
      <c r="K67" s="86">
        <f>(I67+J67)*0.18</f>
        <v>5531.076</v>
      </c>
      <c r="L67" s="86">
        <f>I67+J67+K67</f>
        <v>36259.275999999998</v>
      </c>
      <c r="M67" s="87">
        <v>0.18</v>
      </c>
    </row>
    <row r="68" spans="1:14" ht="16.5" customHeight="1">
      <c r="A68" s="322"/>
      <c r="B68" s="83" t="s">
        <v>11</v>
      </c>
      <c r="C68" s="84" t="s">
        <v>256</v>
      </c>
      <c r="D68" s="83" t="s">
        <v>29</v>
      </c>
      <c r="E68" s="97">
        <v>7130310654</v>
      </c>
      <c r="F68" s="88">
        <v>48718.1</v>
      </c>
      <c r="G68" s="88">
        <v>1451.6</v>
      </c>
      <c r="H68" s="88">
        <v>64217.22</v>
      </c>
      <c r="I68" s="86">
        <v>51888</v>
      </c>
      <c r="J68" s="86">
        <v>1297.2</v>
      </c>
      <c r="K68" s="86">
        <f>(I68+J68)*0.18</f>
        <v>9573.3359999999993</v>
      </c>
      <c r="L68" s="86">
        <f>I68+J68+K68</f>
        <v>62758.535999999993</v>
      </c>
      <c r="M68" s="87">
        <v>0.18</v>
      </c>
    </row>
    <row r="69" spans="1:14" ht="16.5" customHeight="1">
      <c r="A69" s="322"/>
      <c r="B69" s="83" t="s">
        <v>32</v>
      </c>
      <c r="C69" s="84" t="s">
        <v>257</v>
      </c>
      <c r="D69" s="83" t="s">
        <v>29</v>
      </c>
      <c r="E69" s="97">
        <v>7130310658</v>
      </c>
      <c r="F69" s="97">
        <v>93909.63</v>
      </c>
      <c r="G69" s="97">
        <v>2800.69</v>
      </c>
      <c r="H69" s="88">
        <v>123789.21</v>
      </c>
      <c r="I69" s="86">
        <v>101007.1</v>
      </c>
      <c r="J69" s="86">
        <v>0</v>
      </c>
      <c r="K69" s="86">
        <f>(I69+J69)*0.18</f>
        <v>18181.278000000002</v>
      </c>
      <c r="L69" s="86">
        <f>I69+J69+K69</f>
        <v>119188.37800000001</v>
      </c>
      <c r="M69" s="87">
        <v>0.18</v>
      </c>
    </row>
    <row r="70" spans="1:14" ht="22.35" customHeight="1">
      <c r="A70" s="322"/>
      <c r="B70" s="100" t="s">
        <v>18</v>
      </c>
      <c r="C70" s="91" t="s">
        <v>31</v>
      </c>
      <c r="D70" s="103"/>
      <c r="E70" s="103"/>
      <c r="F70" s="103"/>
      <c r="G70" s="103"/>
      <c r="H70" s="109"/>
      <c r="I70" s="103"/>
      <c r="J70" s="103"/>
      <c r="K70" s="86"/>
      <c r="L70" s="86"/>
      <c r="M70" s="87"/>
    </row>
    <row r="71" spans="1:14" ht="27.75" customHeight="1">
      <c r="A71" s="322"/>
      <c r="B71" s="83" t="s">
        <v>32</v>
      </c>
      <c r="C71" s="84" t="s">
        <v>33</v>
      </c>
      <c r="D71" s="83" t="s">
        <v>29</v>
      </c>
      <c r="E71" s="97">
        <v>7130310660</v>
      </c>
      <c r="F71" s="88">
        <v>139829.20000000001</v>
      </c>
      <c r="G71" s="88">
        <v>2769.5</v>
      </c>
      <c r="H71" s="88">
        <v>182526.31</v>
      </c>
      <c r="I71" s="86">
        <v>171580.7</v>
      </c>
      <c r="J71" s="86">
        <v>2769.5</v>
      </c>
      <c r="K71" s="86">
        <f>(I71+J71)*0.18</f>
        <v>31383.036</v>
      </c>
      <c r="L71" s="86">
        <f>I71+J71+K71</f>
        <v>205733.236</v>
      </c>
      <c r="M71" s="87">
        <v>0.18</v>
      </c>
      <c r="N71" s="40"/>
    </row>
    <row r="72" spans="1:14" ht="30.75" customHeight="1">
      <c r="A72" s="317">
        <v>40</v>
      </c>
      <c r="B72" s="83"/>
      <c r="C72" s="91" t="s">
        <v>55</v>
      </c>
      <c r="D72" s="103"/>
      <c r="E72" s="103"/>
      <c r="F72" s="103"/>
      <c r="G72" s="103"/>
      <c r="H72" s="103"/>
      <c r="I72" s="103"/>
      <c r="J72" s="103"/>
      <c r="K72" s="103"/>
      <c r="L72" s="103"/>
      <c r="M72" s="87"/>
    </row>
    <row r="73" spans="1:14" ht="17.25" customHeight="1">
      <c r="A73" s="318"/>
      <c r="B73" s="100" t="s">
        <v>259</v>
      </c>
      <c r="C73" s="112" t="s">
        <v>773</v>
      </c>
      <c r="D73" s="103"/>
      <c r="E73" s="103"/>
      <c r="F73" s="103"/>
      <c r="G73" s="103"/>
      <c r="H73" s="103"/>
      <c r="I73" s="103"/>
      <c r="J73" s="103"/>
      <c r="K73" s="103"/>
      <c r="L73" s="103"/>
      <c r="M73" s="87"/>
    </row>
    <row r="74" spans="1:14" ht="17.25" customHeight="1">
      <c r="A74" s="318"/>
      <c r="B74" s="83" t="s">
        <v>8</v>
      </c>
      <c r="C74" s="84" t="s">
        <v>260</v>
      </c>
      <c r="D74" s="83" t="s">
        <v>261</v>
      </c>
      <c r="E74" s="85">
        <v>7130311008</v>
      </c>
      <c r="F74" s="85">
        <v>13576.27</v>
      </c>
      <c r="G74" s="85">
        <v>277.91000000000003</v>
      </c>
      <c r="H74" s="88">
        <v>17733.34</v>
      </c>
      <c r="I74" s="86">
        <v>15124.33</v>
      </c>
      <c r="J74" s="86">
        <v>277.91000000000003</v>
      </c>
      <c r="K74" s="86">
        <v>2772.4</v>
      </c>
      <c r="L74" s="86">
        <v>18174.64</v>
      </c>
      <c r="M74" s="87">
        <v>0.18</v>
      </c>
    </row>
    <row r="75" spans="1:14" ht="17.25" customHeight="1">
      <c r="A75" s="318"/>
      <c r="B75" s="83" t="s">
        <v>11</v>
      </c>
      <c r="C75" s="84" t="s">
        <v>262</v>
      </c>
      <c r="D75" s="83" t="s">
        <v>261</v>
      </c>
      <c r="E75" s="83">
        <v>7130311009</v>
      </c>
      <c r="F75" s="83">
        <v>31491.46</v>
      </c>
      <c r="G75" s="83">
        <v>779.28</v>
      </c>
      <c r="H75" s="88">
        <v>41306.54</v>
      </c>
      <c r="I75" s="86">
        <v>35413.279999999999</v>
      </c>
      <c r="J75" s="86">
        <v>779.28</v>
      </c>
      <c r="K75" s="86">
        <v>6514.66</v>
      </c>
      <c r="L75" s="86">
        <v>42707.22</v>
      </c>
      <c r="M75" s="87">
        <v>0.18</v>
      </c>
    </row>
    <row r="76" spans="1:14" ht="17.25" customHeight="1">
      <c r="A76" s="318"/>
      <c r="B76" s="83" t="s">
        <v>32</v>
      </c>
      <c r="C76" s="84" t="s">
        <v>263</v>
      </c>
      <c r="D76" s="83" t="s">
        <v>261</v>
      </c>
      <c r="E76" s="83">
        <v>7130311010</v>
      </c>
      <c r="F76" s="83">
        <v>42296.02</v>
      </c>
      <c r="G76" s="83">
        <v>1080.1099999999999</v>
      </c>
      <c r="H76" s="88">
        <v>55521.43</v>
      </c>
      <c r="I76" s="88">
        <v>47732.6</v>
      </c>
      <c r="J76" s="88">
        <v>1080.1099999999999</v>
      </c>
      <c r="K76" s="86">
        <v>8786.2900000000009</v>
      </c>
      <c r="L76" s="86">
        <v>57599</v>
      </c>
      <c r="M76" s="87">
        <v>0.18</v>
      </c>
    </row>
    <row r="77" spans="1:14" ht="17.25" customHeight="1">
      <c r="A77" s="318"/>
      <c r="B77" s="83" t="s">
        <v>15</v>
      </c>
      <c r="C77" s="84" t="s">
        <v>264</v>
      </c>
      <c r="D77" s="83" t="s">
        <v>261</v>
      </c>
      <c r="E77" s="83">
        <v>7130311011</v>
      </c>
      <c r="F77" s="83">
        <v>80083.28</v>
      </c>
      <c r="G77" s="83">
        <v>2254.7600000000002</v>
      </c>
      <c r="H77" s="88">
        <v>105392.68</v>
      </c>
      <c r="I77" s="86">
        <v>91383.21</v>
      </c>
      <c r="J77" s="86">
        <v>2254.7600000000002</v>
      </c>
      <c r="K77" s="86">
        <v>16854.830000000002</v>
      </c>
      <c r="L77" s="86">
        <v>110492.79</v>
      </c>
      <c r="M77" s="87">
        <v>0.18</v>
      </c>
    </row>
    <row r="78" spans="1:14" ht="17.25" customHeight="1">
      <c r="A78" s="318"/>
      <c r="B78" s="83" t="s">
        <v>88</v>
      </c>
      <c r="C78" s="84" t="s">
        <v>265</v>
      </c>
      <c r="D78" s="83" t="s">
        <v>261</v>
      </c>
      <c r="E78" s="83">
        <v>7130311012</v>
      </c>
      <c r="F78" s="83">
        <v>155493.03</v>
      </c>
      <c r="G78" s="83">
        <v>4371.04</v>
      </c>
      <c r="H78" s="88">
        <v>204626.01</v>
      </c>
      <c r="I78" s="86">
        <v>178378.14</v>
      </c>
      <c r="J78" s="86">
        <v>4371.04</v>
      </c>
      <c r="K78" s="86">
        <v>32894.85</v>
      </c>
      <c r="L78" s="86">
        <v>215644.03</v>
      </c>
      <c r="M78" s="87">
        <v>0.18</v>
      </c>
    </row>
    <row r="79" spans="1:14" ht="17.25" customHeight="1">
      <c r="A79" s="318"/>
      <c r="B79" s="83" t="s">
        <v>108</v>
      </c>
      <c r="C79" s="84" t="s">
        <v>266</v>
      </c>
      <c r="D79" s="83" t="s">
        <v>261</v>
      </c>
      <c r="E79" s="83">
        <v>7130311013</v>
      </c>
      <c r="F79" s="83">
        <v>192017.46</v>
      </c>
      <c r="G79" s="83">
        <v>5790.17</v>
      </c>
      <c r="H79" s="88">
        <v>253193.76</v>
      </c>
      <c r="I79" s="86">
        <v>221117.2</v>
      </c>
      <c r="J79" s="86">
        <v>5790.17</v>
      </c>
      <c r="K79" s="86">
        <v>40843.33</v>
      </c>
      <c r="L79" s="86">
        <v>267750.7</v>
      </c>
      <c r="M79" s="87">
        <v>0.18</v>
      </c>
    </row>
    <row r="80" spans="1:14" ht="38.25">
      <c r="A80" s="318"/>
      <c r="B80" s="100" t="s">
        <v>283</v>
      </c>
      <c r="C80" s="91" t="s">
        <v>284</v>
      </c>
      <c r="D80" s="91"/>
      <c r="E80" s="91"/>
      <c r="F80" s="91"/>
      <c r="G80" s="91"/>
      <c r="H80" s="91"/>
      <c r="I80" s="91"/>
      <c r="J80" s="91"/>
      <c r="K80" s="91"/>
      <c r="L80" s="91"/>
      <c r="M80" s="87"/>
    </row>
    <row r="81" spans="1:14" ht="16.5" customHeight="1">
      <c r="A81" s="318"/>
      <c r="B81" s="83" t="s">
        <v>8</v>
      </c>
      <c r="C81" s="84" t="s">
        <v>285</v>
      </c>
      <c r="D81" s="83" t="s">
        <v>29</v>
      </c>
      <c r="E81" s="83">
        <v>7130310025</v>
      </c>
      <c r="F81" s="88">
        <v>11700</v>
      </c>
      <c r="G81" s="88">
        <v>343.8</v>
      </c>
      <c r="H81" s="88">
        <v>15416.06</v>
      </c>
      <c r="I81" s="86">
        <v>10958.45</v>
      </c>
      <c r="J81" s="86">
        <v>477.5</v>
      </c>
      <c r="K81" s="86">
        <v>2058.4699999999998</v>
      </c>
      <c r="L81" s="86">
        <v>13494.42</v>
      </c>
      <c r="M81" s="87">
        <v>0.18</v>
      </c>
    </row>
    <row r="82" spans="1:14" ht="16.5" customHeight="1">
      <c r="A82" s="318"/>
      <c r="B82" s="83" t="s">
        <v>11</v>
      </c>
      <c r="C82" s="84" t="s">
        <v>286</v>
      </c>
      <c r="D82" s="83" t="s">
        <v>29</v>
      </c>
      <c r="E82" s="83">
        <v>7130310026</v>
      </c>
      <c r="F82" s="88">
        <v>16650</v>
      </c>
      <c r="G82" s="83">
        <v>429.75</v>
      </c>
      <c r="H82" s="88">
        <v>21862.080000000002</v>
      </c>
      <c r="I82" s="86">
        <v>17692.849999999999</v>
      </c>
      <c r="J82" s="86">
        <v>429.75</v>
      </c>
      <c r="K82" s="86">
        <v>3262.07</v>
      </c>
      <c r="L82" s="86">
        <v>21384.67</v>
      </c>
      <c r="M82" s="87">
        <v>0.18</v>
      </c>
    </row>
    <row r="83" spans="1:14" ht="16.5" customHeight="1">
      <c r="A83" s="318"/>
      <c r="B83" s="83" t="s">
        <v>32</v>
      </c>
      <c r="C83" s="84" t="s">
        <v>287</v>
      </c>
      <c r="D83" s="83" t="s">
        <v>29</v>
      </c>
      <c r="E83" s="83">
        <v>7130310021</v>
      </c>
      <c r="F83" s="88">
        <v>21600</v>
      </c>
      <c r="G83" s="88">
        <v>515.70000000000005</v>
      </c>
      <c r="H83" s="88">
        <v>28308.1</v>
      </c>
      <c r="I83" s="86">
        <v>23345.82</v>
      </c>
      <c r="J83" s="86">
        <v>515.70000000000005</v>
      </c>
      <c r="K83" s="86">
        <v>4295.07</v>
      </c>
      <c r="L83" s="86">
        <v>28156.59</v>
      </c>
      <c r="M83" s="87">
        <v>0.18</v>
      </c>
    </row>
    <row r="84" spans="1:14" ht="16.5" customHeight="1">
      <c r="A84" s="318"/>
      <c r="B84" s="83" t="s">
        <v>15</v>
      </c>
      <c r="C84" s="84" t="s">
        <v>288</v>
      </c>
      <c r="D84" s="83" t="s">
        <v>29</v>
      </c>
      <c r="E84" s="83">
        <v>7130310022</v>
      </c>
      <c r="F84" s="88">
        <v>27900</v>
      </c>
      <c r="G84" s="83">
        <v>644.63</v>
      </c>
      <c r="H84" s="88">
        <v>36537.120000000003</v>
      </c>
      <c r="I84" s="86">
        <v>30503.17</v>
      </c>
      <c r="J84" s="86">
        <v>644.63</v>
      </c>
      <c r="K84" s="86">
        <v>5606.6</v>
      </c>
      <c r="L84" s="86">
        <v>36754.400000000001</v>
      </c>
      <c r="M84" s="87">
        <v>0.18</v>
      </c>
    </row>
    <row r="85" spans="1:14" ht="16.5" customHeight="1">
      <c r="A85" s="318"/>
      <c r="B85" s="83" t="s">
        <v>88</v>
      </c>
      <c r="C85" s="84" t="s">
        <v>289</v>
      </c>
      <c r="D85" s="83" t="s">
        <v>29</v>
      </c>
      <c r="E85" s="83">
        <v>7130310007</v>
      </c>
      <c r="F85" s="88">
        <v>37800</v>
      </c>
      <c r="G85" s="88">
        <v>859.5</v>
      </c>
      <c r="H85" s="88">
        <v>49484.160000000003</v>
      </c>
      <c r="I85" s="88">
        <v>41461.660000000003</v>
      </c>
      <c r="J85" s="88">
        <v>859.5</v>
      </c>
      <c r="K85" s="86">
        <v>7689.81</v>
      </c>
      <c r="L85" s="86">
        <v>50410.97</v>
      </c>
      <c r="M85" s="87">
        <v>0.18</v>
      </c>
    </row>
    <row r="86" spans="1:14" ht="16.5" customHeight="1">
      <c r="A86" s="318"/>
      <c r="B86" s="83" t="s">
        <v>108</v>
      </c>
      <c r="C86" s="84" t="s">
        <v>290</v>
      </c>
      <c r="D86" s="83" t="s">
        <v>29</v>
      </c>
      <c r="E86" s="83">
        <v>7130310008</v>
      </c>
      <c r="F86" s="83">
        <v>64226.68</v>
      </c>
      <c r="G86" s="88">
        <v>6112</v>
      </c>
      <c r="H86" s="88">
        <v>90033.51</v>
      </c>
      <c r="I86" s="86">
        <v>70488.89</v>
      </c>
      <c r="J86" s="86">
        <v>6112</v>
      </c>
      <c r="K86" s="86">
        <v>13788.16</v>
      </c>
      <c r="L86" s="86">
        <v>90389.05</v>
      </c>
      <c r="M86" s="87">
        <v>0.18</v>
      </c>
    </row>
    <row r="87" spans="1:14" ht="16.5" customHeight="1">
      <c r="A87" s="318"/>
      <c r="B87" s="83" t="s">
        <v>56</v>
      </c>
      <c r="C87" s="84" t="s">
        <v>291</v>
      </c>
      <c r="D87" s="83" t="s">
        <v>29</v>
      </c>
      <c r="E87" s="83">
        <v>7130310041</v>
      </c>
      <c r="F87" s="88">
        <v>75600</v>
      </c>
      <c r="G87" s="88">
        <v>1719</v>
      </c>
      <c r="H87" s="88">
        <v>98968.320000000007</v>
      </c>
      <c r="I87" s="86">
        <v>85328.1</v>
      </c>
      <c r="J87" s="86">
        <v>1719</v>
      </c>
      <c r="K87" s="86">
        <v>15668.48</v>
      </c>
      <c r="L87" s="86">
        <v>102715.58</v>
      </c>
      <c r="M87" s="87">
        <v>0.18</v>
      </c>
    </row>
    <row r="88" spans="1:14" ht="16.5" customHeight="1">
      <c r="A88" s="318"/>
      <c r="B88" s="83" t="s">
        <v>180</v>
      </c>
      <c r="C88" s="84" t="s">
        <v>292</v>
      </c>
      <c r="D88" s="83" t="s">
        <v>29</v>
      </c>
      <c r="E88" s="83">
        <v>7130310034</v>
      </c>
      <c r="F88" s="83">
        <v>97238.64</v>
      </c>
      <c r="G88" s="83">
        <v>9274.9599999999991</v>
      </c>
      <c r="H88" s="88">
        <v>136337.41</v>
      </c>
      <c r="I88" s="86">
        <v>107266.62</v>
      </c>
      <c r="J88" s="86">
        <v>9274.9599999999991</v>
      </c>
      <c r="K88" s="86">
        <v>20977.48</v>
      </c>
      <c r="L88" s="86">
        <v>137519.06</v>
      </c>
      <c r="M88" s="87">
        <v>0.18</v>
      </c>
    </row>
    <row r="89" spans="1:14" ht="28.5" customHeight="1">
      <c r="A89" s="318"/>
      <c r="B89" s="83" t="s">
        <v>218</v>
      </c>
      <c r="C89" s="84" t="s">
        <v>293</v>
      </c>
      <c r="D89" s="83" t="s">
        <v>29</v>
      </c>
      <c r="E89" s="83">
        <v>7130310035</v>
      </c>
      <c r="F89" s="83">
        <v>146412.57</v>
      </c>
      <c r="G89" s="83">
        <v>14119.68</v>
      </c>
      <c r="H89" s="88">
        <v>205481.27</v>
      </c>
      <c r="I89" s="86">
        <v>163886.06</v>
      </c>
      <c r="J89" s="86">
        <v>14119.68</v>
      </c>
      <c r="K89" s="86">
        <v>32041.03</v>
      </c>
      <c r="L89" s="86">
        <v>210046.77</v>
      </c>
      <c r="M89" s="87">
        <v>0.18</v>
      </c>
    </row>
    <row r="90" spans="1:14" ht="15.75" customHeight="1">
      <c r="A90" s="317">
        <v>45</v>
      </c>
      <c r="B90" s="89"/>
      <c r="C90" s="91" t="s">
        <v>333</v>
      </c>
      <c r="D90" s="96"/>
      <c r="E90" s="96"/>
      <c r="F90" s="96"/>
      <c r="G90" s="96"/>
      <c r="H90" s="96"/>
      <c r="I90" s="96"/>
      <c r="J90" s="96"/>
      <c r="K90" s="96"/>
      <c r="L90" s="96"/>
      <c r="M90" s="99"/>
    </row>
    <row r="91" spans="1:14" ht="29.25" customHeight="1">
      <c r="A91" s="318"/>
      <c r="B91" s="85" t="s">
        <v>11</v>
      </c>
      <c r="C91" s="107" t="s">
        <v>335</v>
      </c>
      <c r="D91" s="88" t="s">
        <v>63</v>
      </c>
      <c r="E91" s="83">
        <v>7130310031</v>
      </c>
      <c r="F91" s="83">
        <v>49279.85</v>
      </c>
      <c r="G91" s="83">
        <v>1714.23</v>
      </c>
      <c r="H91" s="86">
        <v>65272.42</v>
      </c>
      <c r="I91" s="86">
        <v>57635.06</v>
      </c>
      <c r="J91" s="86">
        <v>1714.23</v>
      </c>
      <c r="K91" s="86">
        <f>(I91+J91)*0.18</f>
        <v>10682.8722</v>
      </c>
      <c r="L91" s="86">
        <f t="shared" ref="L91:L97" si="3">I91+J91+K91</f>
        <v>70032.162200000006</v>
      </c>
      <c r="M91" s="87">
        <v>0.18</v>
      </c>
      <c r="N91" s="113"/>
    </row>
    <row r="92" spans="1:14" ht="27.75" customHeight="1">
      <c r="A92" s="318"/>
      <c r="B92" s="85" t="s">
        <v>32</v>
      </c>
      <c r="C92" s="107" t="s">
        <v>336</v>
      </c>
      <c r="D92" s="88" t="s">
        <v>63</v>
      </c>
      <c r="E92" s="83">
        <v>7130310032</v>
      </c>
      <c r="F92" s="83">
        <v>57668.29</v>
      </c>
      <c r="G92" s="83">
        <v>1461.15</v>
      </c>
      <c r="H92" s="86">
        <v>75685.69</v>
      </c>
      <c r="I92" s="86">
        <v>63386.44</v>
      </c>
      <c r="J92" s="86">
        <v>1623.5</v>
      </c>
      <c r="K92" s="86">
        <v>11701.79</v>
      </c>
      <c r="L92" s="86">
        <f t="shared" si="3"/>
        <v>76711.73000000001</v>
      </c>
      <c r="M92" s="87">
        <v>0.18</v>
      </c>
      <c r="N92" s="113"/>
    </row>
    <row r="93" spans="1:14" ht="29.25" customHeight="1">
      <c r="A93" s="318"/>
      <c r="B93" s="89" t="s">
        <v>15</v>
      </c>
      <c r="C93" s="114" t="s">
        <v>337</v>
      </c>
      <c r="D93" s="88" t="s">
        <v>63</v>
      </c>
      <c r="E93" s="83">
        <v>7130310033</v>
      </c>
      <c r="F93" s="83">
        <v>70058.880000000005</v>
      </c>
      <c r="G93" s="88">
        <v>1910</v>
      </c>
      <c r="H93" s="86">
        <v>92120.17</v>
      </c>
      <c r="I93" s="86">
        <v>74770.899999999994</v>
      </c>
      <c r="J93" s="86">
        <v>573</v>
      </c>
      <c r="K93" s="86">
        <v>13561.9</v>
      </c>
      <c r="L93" s="86">
        <f t="shared" si="3"/>
        <v>88905.799999999988</v>
      </c>
      <c r="M93" s="87">
        <v>0.18</v>
      </c>
      <c r="N93" s="113"/>
    </row>
    <row r="94" spans="1:14" s="17" customFormat="1" ht="30.75" customHeight="1">
      <c r="A94" s="318"/>
      <c r="B94" s="83" t="s">
        <v>88</v>
      </c>
      <c r="C94" s="107" t="s">
        <v>338</v>
      </c>
      <c r="D94" s="88" t="s">
        <v>63</v>
      </c>
      <c r="E94" s="83">
        <v>7130310065</v>
      </c>
      <c r="F94" s="83">
        <v>89185.919999999998</v>
      </c>
      <c r="G94" s="88">
        <v>4507.6000000000004</v>
      </c>
      <c r="H94" s="86">
        <v>119927.7</v>
      </c>
      <c r="I94" s="86">
        <v>94843.92</v>
      </c>
      <c r="J94" s="86">
        <v>716.25</v>
      </c>
      <c r="K94" s="86">
        <v>17200.830000000002</v>
      </c>
      <c r="L94" s="86">
        <f t="shared" si="3"/>
        <v>112761</v>
      </c>
      <c r="M94" s="87">
        <v>0.18</v>
      </c>
      <c r="N94" s="113"/>
    </row>
    <row r="95" spans="1:14" ht="29.25" customHeight="1">
      <c r="A95" s="318"/>
      <c r="B95" s="85" t="s">
        <v>56</v>
      </c>
      <c r="C95" s="107" t="s">
        <v>340</v>
      </c>
      <c r="D95" s="88" t="s">
        <v>63</v>
      </c>
      <c r="E95" s="85">
        <v>7130300025</v>
      </c>
      <c r="F95" s="85">
        <v>132426.06</v>
      </c>
      <c r="G95" s="85">
        <v>2285.3200000000002</v>
      </c>
      <c r="H95" s="86">
        <v>172430.56</v>
      </c>
      <c r="I95" s="86">
        <v>131283.6</v>
      </c>
      <c r="J95" s="86">
        <v>778.33</v>
      </c>
      <c r="K95" s="86">
        <f>0.18*(I95+J95)</f>
        <v>23771.147399999998</v>
      </c>
      <c r="L95" s="86">
        <f t="shared" si="3"/>
        <v>155833.07739999998</v>
      </c>
      <c r="M95" s="87">
        <v>0.18</v>
      </c>
      <c r="N95" s="113"/>
    </row>
    <row r="96" spans="1:14" ht="29.25" customHeight="1">
      <c r="A96" s="318"/>
      <c r="B96" s="83" t="s">
        <v>180</v>
      </c>
      <c r="C96" s="107" t="s">
        <v>341</v>
      </c>
      <c r="D96" s="88" t="s">
        <v>63</v>
      </c>
      <c r="E96" s="85">
        <v>7130310070</v>
      </c>
      <c r="F96" s="85">
        <v>38070.910000000003</v>
      </c>
      <c r="G96" s="86">
        <v>1031.4000000000001</v>
      </c>
      <c r="H96" s="88">
        <v>50050.96</v>
      </c>
      <c r="I96" s="86">
        <v>41616.019999999997</v>
      </c>
      <c r="J96" s="86">
        <v>1337</v>
      </c>
      <c r="K96" s="86">
        <f>0.18*(I96+J96)</f>
        <v>7731.5435999999991</v>
      </c>
      <c r="L96" s="86">
        <f t="shared" si="3"/>
        <v>50684.563599999994</v>
      </c>
      <c r="M96" s="87">
        <v>0.18</v>
      </c>
      <c r="N96" s="113"/>
    </row>
    <row r="97" spans="1:14" ht="29.25" customHeight="1">
      <c r="A97" s="319"/>
      <c r="B97" s="83" t="s">
        <v>218</v>
      </c>
      <c r="C97" s="107" t="s">
        <v>342</v>
      </c>
      <c r="D97" s="88" t="s">
        <v>63</v>
      </c>
      <c r="E97" s="85">
        <v>7130310073</v>
      </c>
      <c r="F97" s="85">
        <v>50584.95</v>
      </c>
      <c r="G97" s="85">
        <v>1370.43</v>
      </c>
      <c r="H97" s="88">
        <v>66502.880000000005</v>
      </c>
      <c r="I97" s="86">
        <v>48321.57</v>
      </c>
      <c r="J97" s="86">
        <v>328.52</v>
      </c>
      <c r="K97" s="86">
        <f>0.18*(I97+J97)</f>
        <v>8757.0161999999982</v>
      </c>
      <c r="L97" s="86">
        <f t="shared" si="3"/>
        <v>57407.106199999995</v>
      </c>
      <c r="M97" s="87">
        <v>0.18</v>
      </c>
      <c r="N97" s="113"/>
    </row>
    <row r="98" spans="1:14" ht="44.25" customHeight="1">
      <c r="A98" s="322">
        <v>50</v>
      </c>
      <c r="B98" s="85"/>
      <c r="C98" s="91" t="s">
        <v>386</v>
      </c>
      <c r="D98" s="103"/>
      <c r="E98" s="103"/>
      <c r="F98" s="103"/>
      <c r="G98" s="103"/>
      <c r="H98" s="103"/>
      <c r="I98" s="103"/>
      <c r="J98" s="103"/>
      <c r="K98" s="103"/>
      <c r="L98" s="103"/>
      <c r="M98" s="87"/>
      <c r="N98" s="74"/>
    </row>
    <row r="99" spans="1:14" ht="18" customHeight="1">
      <c r="A99" s="322"/>
      <c r="B99" s="83" t="s">
        <v>27</v>
      </c>
      <c r="C99" s="84" t="s">
        <v>387</v>
      </c>
      <c r="D99" s="83" t="s">
        <v>5</v>
      </c>
      <c r="E99" s="97">
        <v>7132468558</v>
      </c>
      <c r="F99" s="97">
        <v>6651.04</v>
      </c>
      <c r="G99" s="88">
        <v>573</v>
      </c>
      <c r="H99" s="88">
        <v>9246.77</v>
      </c>
      <c r="I99" s="86">
        <v>9735.65</v>
      </c>
      <c r="J99" s="86">
        <v>620.75</v>
      </c>
      <c r="K99" s="86">
        <v>2395.79</v>
      </c>
      <c r="L99" s="86">
        <v>10952.19</v>
      </c>
      <c r="M99" s="87">
        <v>0.28000000000000003</v>
      </c>
      <c r="N99" s="323"/>
    </row>
    <row r="100" spans="1:14" ht="28.5" customHeight="1">
      <c r="A100" s="322"/>
      <c r="B100" s="83" t="s">
        <v>18</v>
      </c>
      <c r="C100" s="84" t="s">
        <v>388</v>
      </c>
      <c r="D100" s="83" t="s">
        <v>2</v>
      </c>
      <c r="E100" s="97">
        <v>7132404366</v>
      </c>
      <c r="F100" s="88">
        <v>40500</v>
      </c>
      <c r="G100" s="88">
        <v>0</v>
      </c>
      <c r="H100" s="88">
        <v>51840</v>
      </c>
      <c r="I100" s="86">
        <v>40500</v>
      </c>
      <c r="J100" s="86">
        <v>0</v>
      </c>
      <c r="K100" s="86">
        <v>11340</v>
      </c>
      <c r="L100" s="86">
        <v>51840</v>
      </c>
      <c r="M100" s="87">
        <v>0.28000000000000003</v>
      </c>
      <c r="N100" s="323"/>
    </row>
    <row r="101" spans="1:14" ht="30" customHeight="1">
      <c r="A101" s="322">
        <v>63</v>
      </c>
      <c r="B101" s="83"/>
      <c r="C101" s="91" t="s">
        <v>436</v>
      </c>
      <c r="D101" s="103"/>
      <c r="E101" s="103"/>
      <c r="F101" s="103"/>
      <c r="G101" s="103"/>
      <c r="H101" s="103"/>
      <c r="I101" s="103"/>
      <c r="J101" s="103"/>
      <c r="K101" s="103"/>
      <c r="L101" s="103"/>
      <c r="M101" s="87"/>
      <c r="N101" s="74"/>
    </row>
    <row r="102" spans="1:14" ht="40.5" customHeight="1">
      <c r="A102" s="322"/>
      <c r="B102" s="83" t="s">
        <v>8</v>
      </c>
      <c r="C102" s="84" t="s">
        <v>437</v>
      </c>
      <c r="D102" s="83" t="s">
        <v>5</v>
      </c>
      <c r="E102" s="97">
        <v>7131300500</v>
      </c>
      <c r="F102" s="88">
        <v>767</v>
      </c>
      <c r="G102" s="88">
        <v>9.43</v>
      </c>
      <c r="H102" s="88">
        <v>916.18</v>
      </c>
      <c r="I102" s="88">
        <v>576</v>
      </c>
      <c r="J102" s="88">
        <v>13.41</v>
      </c>
      <c r="K102" s="88">
        <f>(I102+J102)*18%</f>
        <v>106.09379999999999</v>
      </c>
      <c r="L102" s="88">
        <v>695.5</v>
      </c>
      <c r="M102" s="116">
        <v>0.18</v>
      </c>
      <c r="N102" s="117"/>
    </row>
    <row r="103" spans="1:14" ht="27" customHeight="1">
      <c r="A103" s="317">
        <v>64</v>
      </c>
      <c r="B103" s="83"/>
      <c r="C103" s="91" t="s">
        <v>438</v>
      </c>
      <c r="D103" s="103"/>
      <c r="E103" s="103"/>
      <c r="F103" s="103"/>
      <c r="G103" s="103"/>
      <c r="H103" s="103"/>
      <c r="I103" s="103"/>
      <c r="J103" s="103"/>
      <c r="K103" s="103"/>
      <c r="L103" s="103"/>
      <c r="M103" s="87"/>
      <c r="N103" s="74"/>
    </row>
    <row r="104" spans="1:14" ht="27" customHeight="1">
      <c r="A104" s="318"/>
      <c r="B104" s="83" t="s">
        <v>8</v>
      </c>
      <c r="C104" s="84" t="s">
        <v>439</v>
      </c>
      <c r="D104" s="83" t="s">
        <v>5</v>
      </c>
      <c r="E104" s="97">
        <v>7131300046</v>
      </c>
      <c r="F104" s="88">
        <v>1697.4</v>
      </c>
      <c r="G104" s="88">
        <v>30.79</v>
      </c>
      <c r="H104" s="88">
        <v>2039.26</v>
      </c>
      <c r="I104" s="88">
        <v>1334</v>
      </c>
      <c r="J104" s="88">
        <v>40.11</v>
      </c>
      <c r="K104" s="88">
        <f>(I104+J104)*18%</f>
        <v>247.33979999999997</v>
      </c>
      <c r="L104" s="88">
        <v>1621.45</v>
      </c>
      <c r="M104" s="116">
        <v>0.18</v>
      </c>
      <c r="N104" s="117"/>
    </row>
    <row r="105" spans="1:14" ht="30" customHeight="1">
      <c r="A105" s="318"/>
      <c r="B105" s="83" t="s">
        <v>11</v>
      </c>
      <c r="C105" s="84" t="s">
        <v>440</v>
      </c>
      <c r="D105" s="83" t="s">
        <v>5</v>
      </c>
      <c r="E105" s="97">
        <v>7131310997</v>
      </c>
      <c r="F105" s="88">
        <v>1735.2</v>
      </c>
      <c r="G105" s="88">
        <v>15.15</v>
      </c>
      <c r="H105" s="88">
        <v>2065.41</v>
      </c>
      <c r="I105" s="88">
        <v>1375</v>
      </c>
      <c r="J105" s="88">
        <v>14.5</v>
      </c>
      <c r="K105" s="88">
        <f>(I105+J105)*18%</f>
        <v>250.10999999999999</v>
      </c>
      <c r="L105" s="88">
        <v>1639.61</v>
      </c>
      <c r="M105" s="116">
        <v>0.18</v>
      </c>
      <c r="N105" s="117"/>
    </row>
    <row r="106" spans="1:14" ht="28.5" customHeight="1">
      <c r="A106" s="318"/>
      <c r="B106" s="83" t="s">
        <v>32</v>
      </c>
      <c r="C106" s="84" t="s">
        <v>441</v>
      </c>
      <c r="D106" s="83" t="s">
        <v>5</v>
      </c>
      <c r="E106" s="97">
        <v>7132406721</v>
      </c>
      <c r="F106" s="88">
        <v>2160</v>
      </c>
      <c r="G106" s="88">
        <v>35.46</v>
      </c>
      <c r="H106" s="88">
        <v>2590.64</v>
      </c>
      <c r="I106" s="88">
        <v>2160</v>
      </c>
      <c r="J106" s="88">
        <v>35.46</v>
      </c>
      <c r="K106" s="88">
        <v>395.18</v>
      </c>
      <c r="L106" s="88">
        <v>2590.64</v>
      </c>
      <c r="M106" s="116">
        <v>0.18</v>
      </c>
      <c r="N106" s="117"/>
    </row>
    <row r="107" spans="1:14" ht="18" customHeight="1">
      <c r="A107" s="322">
        <v>65</v>
      </c>
      <c r="B107" s="83"/>
      <c r="C107" s="77" t="s">
        <v>443</v>
      </c>
      <c r="D107" s="118"/>
      <c r="E107" s="118"/>
      <c r="F107" s="118"/>
      <c r="G107" s="118"/>
      <c r="H107" s="118"/>
      <c r="I107" s="118"/>
      <c r="J107" s="118"/>
      <c r="K107" s="118"/>
      <c r="L107" s="118"/>
      <c r="M107" s="87"/>
      <c r="N107" s="74"/>
    </row>
    <row r="108" spans="1:14" ht="27.75" customHeight="1">
      <c r="A108" s="322"/>
      <c r="B108" s="83" t="s">
        <v>8</v>
      </c>
      <c r="C108" s="84" t="s">
        <v>444</v>
      </c>
      <c r="D108" s="83" t="s">
        <v>5</v>
      </c>
      <c r="E108" s="83">
        <v>7131310033</v>
      </c>
      <c r="F108" s="88">
        <v>2928.1</v>
      </c>
      <c r="G108" s="88">
        <v>38.200000000000003</v>
      </c>
      <c r="H108" s="88">
        <v>3500.23</v>
      </c>
      <c r="I108" s="88">
        <v>2928.1</v>
      </c>
      <c r="J108" s="88">
        <v>38.200000000000003</v>
      </c>
      <c r="K108" s="88">
        <f>(I108+J108)*18%</f>
        <v>533.93399999999997</v>
      </c>
      <c r="L108" s="88">
        <f>I108+J108+K108</f>
        <v>3500.2339999999995</v>
      </c>
      <c r="M108" s="116">
        <v>0.18</v>
      </c>
      <c r="N108" s="117"/>
    </row>
    <row r="109" spans="1:14" ht="28.5" customHeight="1">
      <c r="A109" s="322"/>
      <c r="B109" s="83" t="s">
        <v>11</v>
      </c>
      <c r="C109" s="84" t="s">
        <v>445</v>
      </c>
      <c r="D109" s="83" t="s">
        <v>5</v>
      </c>
      <c r="E109" s="83">
        <v>7131310034</v>
      </c>
      <c r="F109" s="88">
        <v>3189.54</v>
      </c>
      <c r="G109" s="88">
        <v>38.200000000000003</v>
      </c>
      <c r="H109" s="88">
        <v>3808.73</v>
      </c>
      <c r="I109" s="88">
        <v>2928.1</v>
      </c>
      <c r="J109" s="88">
        <v>38.200000000000003</v>
      </c>
      <c r="K109" s="88">
        <v>533.92999999999995</v>
      </c>
      <c r="L109" s="88">
        <v>3500.23</v>
      </c>
      <c r="M109" s="116">
        <v>0.18</v>
      </c>
      <c r="N109" s="117"/>
    </row>
    <row r="110" spans="1:14" ht="18" customHeight="1">
      <c r="A110" s="322"/>
      <c r="B110" s="83" t="s">
        <v>32</v>
      </c>
      <c r="C110" s="84" t="s">
        <v>446</v>
      </c>
      <c r="D110" s="83" t="s">
        <v>5</v>
      </c>
      <c r="E110" s="83">
        <v>7131310036</v>
      </c>
      <c r="F110" s="88">
        <v>13908.5</v>
      </c>
      <c r="G110" s="88">
        <v>38.200000000000003</v>
      </c>
      <c r="H110" s="88">
        <v>16457.11</v>
      </c>
      <c r="I110" s="88">
        <v>13908.5</v>
      </c>
      <c r="J110" s="88">
        <v>38.200000000000003</v>
      </c>
      <c r="K110" s="88">
        <v>2510.41</v>
      </c>
      <c r="L110" s="88">
        <v>16457.11</v>
      </c>
      <c r="M110" s="116">
        <v>0.18</v>
      </c>
      <c r="N110" s="323"/>
    </row>
    <row r="111" spans="1:14" ht="18" customHeight="1">
      <c r="A111" s="322"/>
      <c r="B111" s="83" t="s">
        <v>15</v>
      </c>
      <c r="C111" s="84" t="s">
        <v>447</v>
      </c>
      <c r="D111" s="83" t="s">
        <v>5</v>
      </c>
      <c r="E111" s="83">
        <v>7131310035</v>
      </c>
      <c r="F111" s="88">
        <v>14479.34</v>
      </c>
      <c r="G111" s="88">
        <v>0.76</v>
      </c>
      <c r="H111" s="88">
        <v>17086.52</v>
      </c>
      <c r="I111" s="88">
        <v>13908.5</v>
      </c>
      <c r="J111" s="88">
        <v>38.200000000000003</v>
      </c>
      <c r="K111" s="88">
        <v>2510.41</v>
      </c>
      <c r="L111" s="88">
        <v>16457.11</v>
      </c>
      <c r="M111" s="116">
        <v>0.18</v>
      </c>
      <c r="N111" s="323"/>
    </row>
    <row r="112" spans="1:14" ht="15" customHeight="1">
      <c r="A112" s="322"/>
      <c r="B112" s="83" t="s">
        <v>88</v>
      </c>
      <c r="C112" s="84" t="s">
        <v>448</v>
      </c>
      <c r="D112" s="83" t="s">
        <v>5</v>
      </c>
      <c r="E112" s="83">
        <v>7131310013</v>
      </c>
      <c r="F112" s="88">
        <v>2928.1</v>
      </c>
      <c r="G112" s="88">
        <v>38.200000000000003</v>
      </c>
      <c r="H112" s="88">
        <v>3500.23</v>
      </c>
      <c r="I112" s="88">
        <v>3245</v>
      </c>
      <c r="J112" s="88">
        <v>0</v>
      </c>
      <c r="K112" s="88">
        <v>584.1</v>
      </c>
      <c r="L112" s="88">
        <v>3829.1</v>
      </c>
      <c r="M112" s="116">
        <v>0.18</v>
      </c>
      <c r="N112" s="323"/>
    </row>
    <row r="113" spans="1:14" ht="26.25" customHeight="1">
      <c r="A113" s="322"/>
      <c r="B113" s="83" t="s">
        <v>108</v>
      </c>
      <c r="C113" s="84" t="s">
        <v>449</v>
      </c>
      <c r="D113" s="83" t="s">
        <v>5</v>
      </c>
      <c r="E113" s="83">
        <v>7131310042</v>
      </c>
      <c r="F113" s="88">
        <v>13908.5</v>
      </c>
      <c r="G113" s="88">
        <v>38.200000000000003</v>
      </c>
      <c r="H113" s="88">
        <v>16457.11</v>
      </c>
      <c r="I113" s="88">
        <v>13908.5</v>
      </c>
      <c r="J113" s="88">
        <v>38.200000000000003</v>
      </c>
      <c r="K113" s="88">
        <v>2510.41</v>
      </c>
      <c r="L113" s="88">
        <v>16457.11</v>
      </c>
      <c r="M113" s="116">
        <v>0.18</v>
      </c>
      <c r="N113" s="323"/>
    </row>
    <row r="114" spans="1:14" ht="27" customHeight="1">
      <c r="A114" s="322"/>
      <c r="B114" s="83" t="s">
        <v>56</v>
      </c>
      <c r="C114" s="84" t="s">
        <v>451</v>
      </c>
      <c r="D114" s="83" t="s">
        <v>5</v>
      </c>
      <c r="E114" s="83">
        <v>7131300881</v>
      </c>
      <c r="F114" s="88">
        <v>22100</v>
      </c>
      <c r="G114" s="83">
        <v>119.38</v>
      </c>
      <c r="H114" s="88">
        <v>26218.87</v>
      </c>
      <c r="I114" s="86">
        <v>22100</v>
      </c>
      <c r="J114" s="86">
        <v>119.38</v>
      </c>
      <c r="K114" s="86">
        <v>3999.49</v>
      </c>
      <c r="L114" s="86">
        <v>26218.87</v>
      </c>
      <c r="M114" s="116">
        <v>0.18</v>
      </c>
      <c r="N114" s="323"/>
    </row>
    <row r="115" spans="1:14" ht="16.5" customHeight="1">
      <c r="A115" s="322"/>
      <c r="B115" s="83" t="s">
        <v>180</v>
      </c>
      <c r="C115" s="84" t="s">
        <v>452</v>
      </c>
      <c r="D115" s="83" t="s">
        <v>5</v>
      </c>
      <c r="E115" s="83">
        <v>7131310168</v>
      </c>
      <c r="F115" s="83">
        <v>9804.35</v>
      </c>
      <c r="G115" s="88">
        <v>0</v>
      </c>
      <c r="H115" s="88">
        <v>11569.13</v>
      </c>
      <c r="I115" s="86">
        <v>9804.35</v>
      </c>
      <c r="J115" s="86">
        <v>0</v>
      </c>
      <c r="K115" s="86">
        <v>1764.78</v>
      </c>
      <c r="L115" s="86">
        <v>11569.13</v>
      </c>
      <c r="M115" s="116">
        <v>0.18</v>
      </c>
      <c r="N115" s="323"/>
    </row>
    <row r="116" spans="1:14" ht="17.25" customHeight="1">
      <c r="A116" s="317">
        <v>66</v>
      </c>
      <c r="B116" s="104"/>
      <c r="C116" s="91" t="s">
        <v>453</v>
      </c>
      <c r="D116" s="79"/>
      <c r="E116" s="103"/>
      <c r="F116" s="103"/>
      <c r="G116" s="103"/>
      <c r="H116" s="79"/>
      <c r="I116" s="79"/>
      <c r="J116" s="79"/>
      <c r="K116" s="79"/>
      <c r="L116" s="79"/>
      <c r="M116" s="99"/>
    </row>
    <row r="117" spans="1:14" ht="41.25" customHeight="1">
      <c r="A117" s="319"/>
      <c r="B117" s="83" t="s">
        <v>8</v>
      </c>
      <c r="C117" s="84" t="s">
        <v>454</v>
      </c>
      <c r="D117" s="83" t="s">
        <v>5</v>
      </c>
      <c r="E117" s="85">
        <v>7131300065</v>
      </c>
      <c r="F117" s="85">
        <v>911635.57</v>
      </c>
      <c r="G117" s="86">
        <v>4966</v>
      </c>
      <c r="H117" s="88">
        <v>1081589.8500000001</v>
      </c>
      <c r="I117" s="88">
        <v>911635.57</v>
      </c>
      <c r="J117" s="88">
        <v>4966</v>
      </c>
      <c r="K117" s="88">
        <v>164988.28</v>
      </c>
      <c r="L117" s="88">
        <v>1081589.8500000001</v>
      </c>
      <c r="M117" s="116">
        <v>0.18</v>
      </c>
    </row>
    <row r="118" spans="1:14" ht="27" customHeight="1">
      <c r="A118" s="83">
        <v>68</v>
      </c>
      <c r="B118" s="83"/>
      <c r="C118" s="84" t="s">
        <v>458</v>
      </c>
      <c r="D118" s="83" t="s">
        <v>5</v>
      </c>
      <c r="E118" s="97">
        <v>7132406425</v>
      </c>
      <c r="F118" s="88">
        <v>2100</v>
      </c>
      <c r="G118" s="88">
        <v>115.4</v>
      </c>
      <c r="H118" s="88">
        <v>2614.17</v>
      </c>
      <c r="I118" s="88">
        <v>2100</v>
      </c>
      <c r="J118" s="88">
        <v>115.4</v>
      </c>
      <c r="K118" s="88">
        <v>398.77</v>
      </c>
      <c r="L118" s="88">
        <v>2614.17</v>
      </c>
      <c r="M118" s="116">
        <v>0.18</v>
      </c>
    </row>
    <row r="119" spans="1:14" ht="27" customHeight="1">
      <c r="A119" s="317">
        <v>69</v>
      </c>
      <c r="B119" s="83" t="s">
        <v>8</v>
      </c>
      <c r="C119" s="84" t="s">
        <v>40</v>
      </c>
      <c r="D119" s="83" t="s">
        <v>5</v>
      </c>
      <c r="E119" s="97">
        <v>7132406420</v>
      </c>
      <c r="F119" s="88">
        <v>2043.5</v>
      </c>
      <c r="G119" s="97">
        <v>143.25</v>
      </c>
      <c r="H119" s="88">
        <v>2580.37</v>
      </c>
      <c r="I119" s="88">
        <v>2043.5</v>
      </c>
      <c r="J119" s="88">
        <v>143.25</v>
      </c>
      <c r="K119" s="88">
        <v>393.62</v>
      </c>
      <c r="L119" s="88">
        <v>2580.37</v>
      </c>
      <c r="M119" s="116">
        <v>0.18</v>
      </c>
    </row>
    <row r="120" spans="1:14" ht="29.25" customHeight="1">
      <c r="A120" s="319"/>
      <c r="B120" s="83" t="s">
        <v>11</v>
      </c>
      <c r="C120" s="84" t="s">
        <v>41</v>
      </c>
      <c r="D120" s="83" t="s">
        <v>5</v>
      </c>
      <c r="E120" s="97">
        <v>7132406420</v>
      </c>
      <c r="F120" s="88">
        <v>2574</v>
      </c>
      <c r="G120" s="97">
        <v>187.25</v>
      </c>
      <c r="H120" s="88">
        <v>3258.27</v>
      </c>
      <c r="I120" s="88">
        <v>2574</v>
      </c>
      <c r="J120" s="88">
        <v>187.25</v>
      </c>
      <c r="K120" s="88">
        <v>497.02</v>
      </c>
      <c r="L120" s="88">
        <v>3258.27</v>
      </c>
      <c r="M120" s="116">
        <v>0.18</v>
      </c>
    </row>
    <row r="121" spans="1:14" ht="18" customHeight="1">
      <c r="A121" s="317">
        <v>70</v>
      </c>
      <c r="B121" s="95"/>
      <c r="C121" s="91" t="s">
        <v>459</v>
      </c>
      <c r="D121" s="96"/>
      <c r="E121" s="96"/>
      <c r="F121" s="96"/>
      <c r="G121" s="96"/>
      <c r="H121" s="96"/>
      <c r="I121" s="96"/>
      <c r="J121" s="96"/>
      <c r="K121" s="96"/>
      <c r="L121" s="96"/>
      <c r="M121" s="99"/>
    </row>
    <row r="122" spans="1:14" ht="28.5" customHeight="1">
      <c r="A122" s="318"/>
      <c r="B122" s="83" t="s">
        <v>11</v>
      </c>
      <c r="C122" s="84" t="s">
        <v>461</v>
      </c>
      <c r="D122" s="83" t="s">
        <v>25</v>
      </c>
      <c r="E122" s="83">
        <v>7131334001</v>
      </c>
      <c r="F122" s="88">
        <v>6250</v>
      </c>
      <c r="G122" s="83">
        <v>119.38</v>
      </c>
      <c r="H122" s="88">
        <v>8152.8</v>
      </c>
      <c r="I122" s="86">
        <v>6250</v>
      </c>
      <c r="J122" s="86">
        <v>119.62</v>
      </c>
      <c r="K122" s="86">
        <v>1146.53</v>
      </c>
      <c r="L122" s="86">
        <f>I122+J122+K122</f>
        <v>7516.15</v>
      </c>
      <c r="M122" s="87">
        <v>0.18</v>
      </c>
    </row>
    <row r="123" spans="1:14" ht="42.75" customHeight="1">
      <c r="A123" s="318"/>
      <c r="B123" s="83" t="s">
        <v>32</v>
      </c>
      <c r="C123" s="84" t="s">
        <v>462</v>
      </c>
      <c r="D123" s="83" t="s">
        <v>25</v>
      </c>
      <c r="E123" s="83">
        <v>7131334002</v>
      </c>
      <c r="F123" s="88">
        <v>6300</v>
      </c>
      <c r="G123" s="83">
        <v>120.33</v>
      </c>
      <c r="H123" s="88">
        <v>8218.02</v>
      </c>
      <c r="I123" s="86">
        <v>6300</v>
      </c>
      <c r="J123" s="86">
        <v>120.57</v>
      </c>
      <c r="K123" s="86">
        <v>1155.7</v>
      </c>
      <c r="L123" s="86">
        <f>I123+J123+K123</f>
        <v>7576.2699999999995</v>
      </c>
      <c r="M123" s="87">
        <v>0.18</v>
      </c>
    </row>
    <row r="124" spans="1:14" ht="30" customHeight="1">
      <c r="A124" s="319"/>
      <c r="B124" s="83" t="s">
        <v>15</v>
      </c>
      <c r="C124" s="84" t="s">
        <v>463</v>
      </c>
      <c r="D124" s="83" t="s">
        <v>25</v>
      </c>
      <c r="E124" s="83">
        <v>7131399007</v>
      </c>
      <c r="F124" s="88">
        <v>1234</v>
      </c>
      <c r="G124" s="83">
        <v>120.33</v>
      </c>
      <c r="H124" s="88">
        <v>1733.54</v>
      </c>
      <c r="I124" s="86">
        <v>1234</v>
      </c>
      <c r="J124" s="86">
        <v>120.57</v>
      </c>
      <c r="K124" s="86">
        <v>243.82</v>
      </c>
      <c r="L124" s="86">
        <f>I124+J124+K124</f>
        <v>1598.3899999999999</v>
      </c>
      <c r="M124" s="87">
        <v>0.18</v>
      </c>
    </row>
    <row r="125" spans="1:14" ht="18" customHeight="1">
      <c r="A125" s="322">
        <v>72</v>
      </c>
      <c r="B125" s="83"/>
      <c r="C125" s="91" t="s">
        <v>470</v>
      </c>
      <c r="D125" s="103"/>
      <c r="E125" s="103"/>
      <c r="F125" s="103"/>
      <c r="G125" s="103"/>
      <c r="H125" s="103"/>
      <c r="I125" s="103"/>
      <c r="J125" s="103"/>
      <c r="K125" s="103"/>
      <c r="L125" s="103"/>
      <c r="M125" s="87"/>
    </row>
    <row r="126" spans="1:14" ht="18" customHeight="1">
      <c r="A126" s="324"/>
      <c r="B126" s="83" t="s">
        <v>8</v>
      </c>
      <c r="C126" s="84" t="s">
        <v>471</v>
      </c>
      <c r="D126" s="83" t="s">
        <v>5</v>
      </c>
      <c r="E126" s="97">
        <v>7132230185</v>
      </c>
      <c r="F126" s="88">
        <v>12608.6</v>
      </c>
      <c r="G126" s="88">
        <v>382</v>
      </c>
      <c r="H126" s="88">
        <v>15328.91</v>
      </c>
      <c r="I126" s="86">
        <v>10656.63</v>
      </c>
      <c r="J126" s="86">
        <v>287.08</v>
      </c>
      <c r="K126" s="86">
        <v>1969.87</v>
      </c>
      <c r="L126" s="86">
        <f>I126+J126+K126</f>
        <v>12913.579999999998</v>
      </c>
      <c r="M126" s="87">
        <v>0.18</v>
      </c>
    </row>
    <row r="127" spans="1:14" ht="18" customHeight="1">
      <c r="A127" s="324"/>
      <c r="B127" s="83" t="s">
        <v>11</v>
      </c>
      <c r="C127" s="84" t="s">
        <v>472</v>
      </c>
      <c r="D127" s="83" t="s">
        <v>5</v>
      </c>
      <c r="E127" s="97">
        <v>7132230188</v>
      </c>
      <c r="F127" s="97">
        <v>7875.09</v>
      </c>
      <c r="G127" s="88">
        <v>382</v>
      </c>
      <c r="H127" s="88">
        <v>9743.3700000000008</v>
      </c>
      <c r="I127" s="86">
        <v>11122.88</v>
      </c>
      <c r="J127" s="86">
        <v>287.08</v>
      </c>
      <c r="K127" s="86">
        <v>2053.79</v>
      </c>
      <c r="L127" s="86">
        <f>I127+J127+K127</f>
        <v>13463.75</v>
      </c>
      <c r="M127" s="87">
        <v>0.18</v>
      </c>
    </row>
    <row r="128" spans="1:14" s="22" customFormat="1" ht="18" customHeight="1">
      <c r="A128" s="317">
        <v>73</v>
      </c>
      <c r="B128" s="95"/>
      <c r="C128" s="91" t="s">
        <v>473</v>
      </c>
      <c r="D128" s="119"/>
      <c r="E128" s="119"/>
      <c r="F128" s="119"/>
      <c r="G128" s="119"/>
      <c r="H128" s="119"/>
      <c r="I128" s="119"/>
      <c r="J128" s="119"/>
      <c r="K128" s="119"/>
      <c r="L128" s="119"/>
      <c r="M128" s="99"/>
    </row>
    <row r="129" spans="1:13" s="22" customFormat="1" ht="28.5" customHeight="1">
      <c r="A129" s="319"/>
      <c r="B129" s="83" t="s">
        <v>149</v>
      </c>
      <c r="C129" s="84" t="s">
        <v>476</v>
      </c>
      <c r="D129" s="83" t="s">
        <v>5</v>
      </c>
      <c r="E129" s="97">
        <v>7132230265</v>
      </c>
      <c r="F129" s="97">
        <v>13505.95</v>
      </c>
      <c r="G129" s="88">
        <v>286.5</v>
      </c>
      <c r="H129" s="88">
        <v>16275.09</v>
      </c>
      <c r="I129" s="86">
        <v>16228.11</v>
      </c>
      <c r="J129" s="86">
        <v>500</v>
      </c>
      <c r="K129" s="86">
        <v>3007.18</v>
      </c>
      <c r="L129" s="86">
        <v>19713.759999999998</v>
      </c>
      <c r="M129" s="87">
        <v>0.18</v>
      </c>
    </row>
    <row r="130" spans="1:13" ht="16.5" customHeight="1">
      <c r="A130" s="322">
        <v>74</v>
      </c>
      <c r="B130" s="83"/>
      <c r="C130" s="91" t="s">
        <v>478</v>
      </c>
      <c r="D130" s="91"/>
      <c r="E130" s="91"/>
      <c r="F130" s="91"/>
      <c r="G130" s="91"/>
      <c r="H130" s="91"/>
      <c r="I130" s="91"/>
      <c r="J130" s="91"/>
      <c r="K130" s="91"/>
      <c r="L130" s="91"/>
      <c r="M130" s="87"/>
    </row>
    <row r="131" spans="1:13" ht="17.25" customHeight="1">
      <c r="A131" s="322"/>
      <c r="B131" s="83" t="s">
        <v>8</v>
      </c>
      <c r="C131" s="107" t="s">
        <v>479</v>
      </c>
      <c r="D131" s="83" t="s">
        <v>2</v>
      </c>
      <c r="E131" s="83">
        <v>7132230330</v>
      </c>
      <c r="F131" s="83">
        <v>298737.57</v>
      </c>
      <c r="G131" s="88">
        <v>4775</v>
      </c>
      <c r="H131" s="88">
        <v>358144.83</v>
      </c>
      <c r="I131" s="86">
        <v>298737.57</v>
      </c>
      <c r="J131" s="86">
        <v>4784.6899999999996</v>
      </c>
      <c r="K131" s="86">
        <v>54634.01</v>
      </c>
      <c r="L131" s="86">
        <f>I131+J131+K131</f>
        <v>358156.27</v>
      </c>
      <c r="M131" s="87">
        <v>0.18</v>
      </c>
    </row>
    <row r="132" spans="1:13" ht="17.25" customHeight="1">
      <c r="A132" s="322"/>
      <c r="B132" s="83" t="s">
        <v>11</v>
      </c>
      <c r="C132" s="107" t="s">
        <v>480</v>
      </c>
      <c r="D132" s="83" t="s">
        <v>2</v>
      </c>
      <c r="E132" s="83">
        <v>7132230075</v>
      </c>
      <c r="F132" s="83">
        <v>301869.49</v>
      </c>
      <c r="G132" s="88">
        <v>4775</v>
      </c>
      <c r="H132" s="88">
        <v>361840.5</v>
      </c>
      <c r="I132" s="86">
        <v>301869.49</v>
      </c>
      <c r="J132" s="86">
        <v>4784.6899999999996</v>
      </c>
      <c r="K132" s="86">
        <v>55197.75</v>
      </c>
      <c r="L132" s="86">
        <f>I132+J132+K132</f>
        <v>361851.93</v>
      </c>
      <c r="M132" s="87">
        <v>0.18</v>
      </c>
    </row>
    <row r="133" spans="1:13" ht="17.25" customHeight="1">
      <c r="A133" s="322"/>
      <c r="B133" s="83" t="s">
        <v>32</v>
      </c>
      <c r="C133" s="107" t="s">
        <v>481</v>
      </c>
      <c r="D133" s="83" t="s">
        <v>2</v>
      </c>
      <c r="E133" s="83">
        <v>7132230332</v>
      </c>
      <c r="F133" s="83">
        <v>276091.33</v>
      </c>
      <c r="G133" s="88">
        <v>4775</v>
      </c>
      <c r="H133" s="88">
        <v>331422.27</v>
      </c>
      <c r="I133" s="86">
        <v>276091.33</v>
      </c>
      <c r="J133" s="86">
        <v>4784.6899999999996</v>
      </c>
      <c r="K133" s="86">
        <v>50557.68</v>
      </c>
      <c r="L133" s="86">
        <f>I133+J133+K133</f>
        <v>331433.7</v>
      </c>
      <c r="M133" s="87">
        <v>0.18</v>
      </c>
    </row>
    <row r="134" spans="1:13" ht="17.25" customHeight="1">
      <c r="A134" s="322"/>
      <c r="B134" s="83" t="s">
        <v>15</v>
      </c>
      <c r="C134" s="107" t="s">
        <v>482</v>
      </c>
      <c r="D134" s="83" t="s">
        <v>2</v>
      </c>
      <c r="E134" s="83">
        <v>7132230336</v>
      </c>
      <c r="F134" s="83">
        <v>241037.85</v>
      </c>
      <c r="G134" s="88">
        <v>4775</v>
      </c>
      <c r="H134" s="88">
        <v>290059.15999999997</v>
      </c>
      <c r="I134" s="86">
        <v>241037.85</v>
      </c>
      <c r="J134" s="86">
        <v>4784.6899999999996</v>
      </c>
      <c r="K134" s="86">
        <v>44248.06</v>
      </c>
      <c r="L134" s="86">
        <f>I134+J134+K134</f>
        <v>290070.59999999998</v>
      </c>
      <c r="M134" s="87">
        <v>0.18</v>
      </c>
    </row>
    <row r="135" spans="1:13" ht="29.25" customHeight="1">
      <c r="A135" s="322"/>
      <c r="B135" s="83" t="s">
        <v>88</v>
      </c>
      <c r="C135" s="107" t="s">
        <v>483</v>
      </c>
      <c r="D135" s="83" t="s">
        <v>2</v>
      </c>
      <c r="E135" s="83">
        <v>7132230065</v>
      </c>
      <c r="F135" s="83">
        <v>263804.55</v>
      </c>
      <c r="G135" s="88">
        <v>4775</v>
      </c>
      <c r="H135" s="88">
        <v>316923.87</v>
      </c>
      <c r="I135" s="86">
        <v>263804.55</v>
      </c>
      <c r="J135" s="86">
        <v>4784.6899999999996</v>
      </c>
      <c r="K135" s="86">
        <v>48346.06</v>
      </c>
      <c r="L135" s="86">
        <f>I135+J135+K135</f>
        <v>316935.3</v>
      </c>
      <c r="M135" s="87">
        <v>0.18</v>
      </c>
    </row>
    <row r="136" spans="1:13" ht="20.25" customHeight="1">
      <c r="A136" s="322">
        <v>75</v>
      </c>
      <c r="B136" s="83"/>
      <c r="C136" s="91" t="s">
        <v>484</v>
      </c>
      <c r="D136" s="91"/>
      <c r="E136" s="91"/>
      <c r="F136" s="91"/>
      <c r="G136" s="91"/>
      <c r="H136" s="91"/>
      <c r="I136" s="91"/>
      <c r="J136" s="91"/>
      <c r="K136" s="91"/>
      <c r="L136" s="91"/>
      <c r="M136" s="87"/>
    </row>
    <row r="137" spans="1:13" ht="15.75" customHeight="1">
      <c r="A137" s="322"/>
      <c r="B137" s="83" t="s">
        <v>8</v>
      </c>
      <c r="C137" s="107" t="s">
        <v>480</v>
      </c>
      <c r="D137" s="83" t="s">
        <v>2</v>
      </c>
      <c r="E137" s="83">
        <v>7132230076</v>
      </c>
      <c r="F137" s="83">
        <v>674207.33</v>
      </c>
      <c r="G137" s="88">
        <v>1432.5</v>
      </c>
      <c r="H137" s="88">
        <v>797255</v>
      </c>
      <c r="I137" s="86">
        <v>674207.33</v>
      </c>
      <c r="J137" s="86">
        <v>1435.41</v>
      </c>
      <c r="K137" s="86">
        <v>121615.69</v>
      </c>
      <c r="L137" s="86">
        <f t="shared" ref="L137:L144" si="4">I137+J137+K137</f>
        <v>797258.42999999993</v>
      </c>
      <c r="M137" s="87">
        <v>0.18</v>
      </c>
    </row>
    <row r="138" spans="1:13" ht="15.75" customHeight="1">
      <c r="A138" s="322"/>
      <c r="B138" s="83" t="s">
        <v>11</v>
      </c>
      <c r="C138" s="107" t="s">
        <v>482</v>
      </c>
      <c r="D138" s="83" t="s">
        <v>2</v>
      </c>
      <c r="E138" s="83">
        <v>7132230077</v>
      </c>
      <c r="F138" s="83">
        <v>440758.37</v>
      </c>
      <c r="G138" s="88">
        <v>1432.5</v>
      </c>
      <c r="H138" s="88">
        <v>521785.23</v>
      </c>
      <c r="I138" s="86">
        <v>440758.37</v>
      </c>
      <c r="J138" s="86">
        <v>1435.41</v>
      </c>
      <c r="K138" s="86">
        <v>79594.880000000005</v>
      </c>
      <c r="L138" s="86">
        <f t="shared" si="4"/>
        <v>521788.66</v>
      </c>
      <c r="M138" s="87">
        <v>0.18</v>
      </c>
    </row>
    <row r="139" spans="1:13" ht="15.75" customHeight="1">
      <c r="A139" s="322"/>
      <c r="B139" s="83" t="s">
        <v>32</v>
      </c>
      <c r="C139" s="107" t="s">
        <v>483</v>
      </c>
      <c r="D139" s="83" t="s">
        <v>2</v>
      </c>
      <c r="E139" s="83">
        <v>7132230078</v>
      </c>
      <c r="F139" s="83">
        <v>407632.23</v>
      </c>
      <c r="G139" s="88">
        <v>1432.5</v>
      </c>
      <c r="H139" s="88">
        <v>482696.38</v>
      </c>
      <c r="I139" s="86">
        <v>407632.23</v>
      </c>
      <c r="J139" s="86">
        <v>1435.41</v>
      </c>
      <c r="K139" s="86">
        <v>73632.17</v>
      </c>
      <c r="L139" s="86">
        <f t="shared" si="4"/>
        <v>482699.80999999994</v>
      </c>
      <c r="M139" s="87">
        <v>0.18</v>
      </c>
    </row>
    <row r="140" spans="1:13" ht="15.75" customHeight="1">
      <c r="A140" s="322"/>
      <c r="B140" s="83" t="s">
        <v>15</v>
      </c>
      <c r="C140" s="107" t="s">
        <v>485</v>
      </c>
      <c r="D140" s="83" t="s">
        <v>2</v>
      </c>
      <c r="E140" s="83">
        <v>7132230039</v>
      </c>
      <c r="F140" s="83">
        <v>418353.05</v>
      </c>
      <c r="G140" s="88">
        <v>1432.5</v>
      </c>
      <c r="H140" s="88">
        <v>495346.95</v>
      </c>
      <c r="I140" s="86">
        <v>493519.28</v>
      </c>
      <c r="J140" s="86">
        <v>1435.41</v>
      </c>
      <c r="K140" s="86">
        <v>89091.839999999997</v>
      </c>
      <c r="L140" s="86">
        <f t="shared" si="4"/>
        <v>584046.53</v>
      </c>
      <c r="M140" s="87">
        <v>0.18</v>
      </c>
    </row>
    <row r="141" spans="1:13" ht="17.25" customHeight="1">
      <c r="A141" s="83">
        <v>77</v>
      </c>
      <c r="B141" s="83"/>
      <c r="C141" s="84" t="s">
        <v>487</v>
      </c>
      <c r="D141" s="83" t="s">
        <v>5</v>
      </c>
      <c r="E141" s="97">
        <v>7132230056</v>
      </c>
      <c r="F141" s="97">
        <v>10410.06</v>
      </c>
      <c r="G141" s="88">
        <v>382</v>
      </c>
      <c r="H141" s="88">
        <v>12734.63</v>
      </c>
      <c r="I141" s="86">
        <v>8472.51</v>
      </c>
      <c r="J141" s="86">
        <v>287.08</v>
      </c>
      <c r="K141" s="86">
        <v>1576.73</v>
      </c>
      <c r="L141" s="86">
        <f t="shared" si="4"/>
        <v>10336.32</v>
      </c>
      <c r="M141" s="87">
        <v>0.18</v>
      </c>
    </row>
    <row r="142" spans="1:13" ht="17.25" customHeight="1">
      <c r="A142" s="83">
        <v>78</v>
      </c>
      <c r="B142" s="83"/>
      <c r="C142" s="84" t="s">
        <v>488</v>
      </c>
      <c r="D142" s="83" t="s">
        <v>5</v>
      </c>
      <c r="E142" s="97">
        <v>7132230057</v>
      </c>
      <c r="F142" s="97">
        <v>14338.09</v>
      </c>
      <c r="G142" s="88">
        <v>573</v>
      </c>
      <c r="H142" s="88">
        <v>17595.09</v>
      </c>
      <c r="I142" s="86">
        <v>13577.73</v>
      </c>
      <c r="J142" s="86">
        <v>478.47</v>
      </c>
      <c r="K142" s="86">
        <v>2530.12</v>
      </c>
      <c r="L142" s="86">
        <f t="shared" si="4"/>
        <v>16586.32</v>
      </c>
      <c r="M142" s="87">
        <v>0.18</v>
      </c>
    </row>
    <row r="143" spans="1:13" ht="20.25" customHeight="1">
      <c r="A143" s="83">
        <v>79</v>
      </c>
      <c r="B143" s="83"/>
      <c r="C143" s="103" t="s">
        <v>489</v>
      </c>
      <c r="D143" s="83" t="s">
        <v>2</v>
      </c>
      <c r="E143" s="83">
        <v>7132230501</v>
      </c>
      <c r="F143" s="83">
        <v>205382.08</v>
      </c>
      <c r="G143" s="88">
        <v>4775</v>
      </c>
      <c r="H143" s="88">
        <v>247985.35</v>
      </c>
      <c r="I143" s="86">
        <v>205382.08</v>
      </c>
      <c r="J143" s="86">
        <v>4784.6899999999996</v>
      </c>
      <c r="K143" s="86">
        <v>37830.019999999997</v>
      </c>
      <c r="L143" s="86">
        <f t="shared" si="4"/>
        <v>247996.78999999998</v>
      </c>
      <c r="M143" s="87">
        <v>0.18</v>
      </c>
    </row>
    <row r="144" spans="1:13" ht="20.25" customHeight="1">
      <c r="A144" s="83">
        <v>80</v>
      </c>
      <c r="B144" s="83"/>
      <c r="C144" s="103" t="s">
        <v>490</v>
      </c>
      <c r="D144" s="83" t="s">
        <v>2</v>
      </c>
      <c r="E144" s="83">
        <v>7132230511</v>
      </c>
      <c r="F144" s="83">
        <v>493519.28</v>
      </c>
      <c r="G144" s="88">
        <v>1432.5</v>
      </c>
      <c r="H144" s="88">
        <v>584043.1</v>
      </c>
      <c r="I144" s="86">
        <v>493519.28</v>
      </c>
      <c r="J144" s="86">
        <v>1435.41</v>
      </c>
      <c r="K144" s="86">
        <v>89091.839999999997</v>
      </c>
      <c r="L144" s="86">
        <f t="shared" si="4"/>
        <v>584046.53</v>
      </c>
      <c r="M144" s="87">
        <v>0.18</v>
      </c>
    </row>
    <row r="145" spans="1:13" ht="25.5">
      <c r="A145" s="317">
        <v>81</v>
      </c>
      <c r="B145" s="100" t="s">
        <v>27</v>
      </c>
      <c r="C145" s="91" t="s">
        <v>491</v>
      </c>
      <c r="D145" s="103"/>
      <c r="E145" s="103"/>
      <c r="F145" s="79"/>
      <c r="G145" s="79"/>
      <c r="H145" s="79"/>
      <c r="I145" s="79"/>
      <c r="J145" s="79"/>
      <c r="K145" s="79"/>
      <c r="L145" s="79"/>
      <c r="M145" s="99"/>
    </row>
    <row r="146" spans="1:13" ht="17.25" customHeight="1">
      <c r="A146" s="318"/>
      <c r="B146" s="83" t="s">
        <v>11</v>
      </c>
      <c r="C146" s="84" t="s">
        <v>493</v>
      </c>
      <c r="D146" s="83" t="s">
        <v>5</v>
      </c>
      <c r="E146" s="83">
        <v>7132230395</v>
      </c>
      <c r="F146" s="83">
        <v>29431.95</v>
      </c>
      <c r="G146" s="88">
        <v>955</v>
      </c>
      <c r="H146" s="88">
        <v>35856.6</v>
      </c>
      <c r="I146" s="86">
        <v>31223.71</v>
      </c>
      <c r="J146" s="86">
        <v>955</v>
      </c>
      <c r="K146" s="86">
        <v>5792.17</v>
      </c>
      <c r="L146" s="86">
        <f>SUM(I146:K146)</f>
        <v>37970.879999999997</v>
      </c>
      <c r="M146" s="102" t="s">
        <v>700</v>
      </c>
    </row>
    <row r="147" spans="1:13" ht="17.25" customHeight="1">
      <c r="A147" s="318"/>
      <c r="B147" s="83" t="s">
        <v>15</v>
      </c>
      <c r="C147" s="84" t="s">
        <v>495</v>
      </c>
      <c r="D147" s="83" t="s">
        <v>5</v>
      </c>
      <c r="E147" s="97">
        <v>7132230401</v>
      </c>
      <c r="F147" s="97">
        <v>28950.94</v>
      </c>
      <c r="G147" s="88">
        <v>955</v>
      </c>
      <c r="H147" s="88">
        <v>35289.01</v>
      </c>
      <c r="I147" s="86">
        <v>30713.42</v>
      </c>
      <c r="J147" s="86">
        <v>955</v>
      </c>
      <c r="K147" s="86">
        <v>5700.32</v>
      </c>
      <c r="L147" s="86">
        <f>SUM(I147:K147)</f>
        <v>37368.74</v>
      </c>
      <c r="M147" s="102" t="s">
        <v>700</v>
      </c>
    </row>
    <row r="148" spans="1:13" ht="25.5">
      <c r="A148" s="318"/>
      <c r="B148" s="100" t="s">
        <v>18</v>
      </c>
      <c r="C148" s="91" t="s">
        <v>503</v>
      </c>
      <c r="D148" s="103"/>
      <c r="E148" s="79"/>
      <c r="F148" s="79"/>
      <c r="G148" s="79"/>
      <c r="H148" s="79"/>
      <c r="I148" s="79"/>
      <c r="J148" s="79"/>
      <c r="K148" s="79"/>
      <c r="L148" s="79"/>
      <c r="M148" s="99"/>
    </row>
    <row r="149" spans="1:13" ht="16.5" customHeight="1">
      <c r="A149" s="318"/>
      <c r="B149" s="83" t="s">
        <v>11</v>
      </c>
      <c r="C149" s="84" t="s">
        <v>493</v>
      </c>
      <c r="D149" s="83" t="s">
        <v>5</v>
      </c>
      <c r="E149" s="97">
        <v>7132230448</v>
      </c>
      <c r="F149" s="88">
        <v>66912</v>
      </c>
      <c r="G149" s="88">
        <v>2578.5</v>
      </c>
      <c r="H149" s="88">
        <v>81998.789999999994</v>
      </c>
      <c r="I149" s="86">
        <v>70985.47</v>
      </c>
      <c r="J149" s="86">
        <v>2578.5</v>
      </c>
      <c r="K149" s="86">
        <v>13241.51</v>
      </c>
      <c r="L149" s="86">
        <f>SUM(I149:K149)</f>
        <v>86805.48</v>
      </c>
      <c r="M149" s="102" t="s">
        <v>700</v>
      </c>
    </row>
    <row r="150" spans="1:13" ht="16.5" customHeight="1">
      <c r="A150" s="318"/>
      <c r="B150" s="83" t="s">
        <v>32</v>
      </c>
      <c r="C150" s="84" t="s">
        <v>505</v>
      </c>
      <c r="D150" s="83" t="s">
        <v>5</v>
      </c>
      <c r="E150" s="97">
        <v>7132230418</v>
      </c>
      <c r="F150" s="97">
        <v>63448.74</v>
      </c>
      <c r="G150" s="88">
        <v>2578.5</v>
      </c>
      <c r="H150" s="88">
        <v>77912.14</v>
      </c>
      <c r="I150" s="86">
        <v>67311.37</v>
      </c>
      <c r="J150" s="86">
        <v>2578.5</v>
      </c>
      <c r="K150" s="86">
        <v>12580.18</v>
      </c>
      <c r="L150" s="86">
        <f>SUM(I150:K150)</f>
        <v>82470.049999999988</v>
      </c>
      <c r="M150" s="102" t="s">
        <v>700</v>
      </c>
    </row>
    <row r="151" spans="1:13" ht="16.5" customHeight="1">
      <c r="A151" s="318"/>
      <c r="B151" s="83" t="s">
        <v>88</v>
      </c>
      <c r="C151" s="84" t="s">
        <v>496</v>
      </c>
      <c r="D151" s="83" t="s">
        <v>5</v>
      </c>
      <c r="E151" s="97">
        <v>7132230450</v>
      </c>
      <c r="F151" s="97">
        <v>61620.91</v>
      </c>
      <c r="G151" s="88">
        <v>2578.5</v>
      </c>
      <c r="H151" s="88">
        <v>75755.3</v>
      </c>
      <c r="I151" s="86">
        <v>65372.27</v>
      </c>
      <c r="J151" s="86">
        <v>2578.5</v>
      </c>
      <c r="K151" s="86">
        <v>12231.14</v>
      </c>
      <c r="L151" s="86">
        <f>SUM(I151:K151)</f>
        <v>80181.909999999989</v>
      </c>
      <c r="M151" s="102" t="s">
        <v>700</v>
      </c>
    </row>
    <row r="152" spans="1:13" ht="16.5" customHeight="1">
      <c r="A152" s="318"/>
      <c r="B152" s="83" t="s">
        <v>108</v>
      </c>
      <c r="C152" s="84" t="s">
        <v>507</v>
      </c>
      <c r="D152" s="83" t="s">
        <v>5</v>
      </c>
      <c r="E152" s="97">
        <v>7132230453</v>
      </c>
      <c r="F152" s="97">
        <v>62145.21</v>
      </c>
      <c r="G152" s="88">
        <v>2578.5</v>
      </c>
      <c r="H152" s="88">
        <v>76373.98</v>
      </c>
      <c r="I152" s="86">
        <v>65928.490000000005</v>
      </c>
      <c r="J152" s="86">
        <v>2578.5</v>
      </c>
      <c r="K152" s="86">
        <v>12331.26</v>
      </c>
      <c r="L152" s="86">
        <f>SUM(I152:K152)</f>
        <v>80838.25</v>
      </c>
      <c r="M152" s="102" t="s">
        <v>700</v>
      </c>
    </row>
    <row r="153" spans="1:13" ht="30" customHeight="1">
      <c r="A153" s="319"/>
      <c r="B153" s="83" t="s">
        <v>56</v>
      </c>
      <c r="C153" s="107" t="s">
        <v>508</v>
      </c>
      <c r="D153" s="83" t="s">
        <v>5</v>
      </c>
      <c r="E153" s="97">
        <v>7132230455</v>
      </c>
      <c r="F153" s="97">
        <v>61620.91</v>
      </c>
      <c r="G153" s="88">
        <v>2578.5</v>
      </c>
      <c r="H153" s="88">
        <v>75755.3</v>
      </c>
      <c r="I153" s="86">
        <v>65372.27</v>
      </c>
      <c r="J153" s="86">
        <v>2578.5</v>
      </c>
      <c r="K153" s="86">
        <v>12231.14</v>
      </c>
      <c r="L153" s="86">
        <f>SUM(I153:K153)</f>
        <v>80181.909999999989</v>
      </c>
      <c r="M153" s="102" t="s">
        <v>700</v>
      </c>
    </row>
    <row r="154" spans="1:13" ht="18" customHeight="1">
      <c r="A154" s="317">
        <v>87</v>
      </c>
      <c r="B154" s="95"/>
      <c r="C154" s="91" t="s">
        <v>530</v>
      </c>
      <c r="D154" s="79"/>
      <c r="E154" s="79"/>
      <c r="F154" s="79"/>
      <c r="G154" s="79"/>
      <c r="H154" s="79"/>
      <c r="I154" s="79"/>
      <c r="J154" s="79"/>
      <c r="K154" s="79"/>
      <c r="L154" s="79"/>
      <c r="M154" s="99"/>
    </row>
    <row r="155" spans="1:13" ht="30" customHeight="1">
      <c r="A155" s="318"/>
      <c r="B155" s="100" t="s">
        <v>18</v>
      </c>
      <c r="C155" s="103" t="s">
        <v>532</v>
      </c>
      <c r="D155" s="83" t="s">
        <v>5</v>
      </c>
      <c r="E155" s="97">
        <v>7131941762</v>
      </c>
      <c r="F155" s="97">
        <v>97463.79</v>
      </c>
      <c r="G155" s="88">
        <v>3342.5</v>
      </c>
      <c r="H155" s="88">
        <v>118951.42</v>
      </c>
      <c r="I155" s="86">
        <v>96436.42</v>
      </c>
      <c r="J155" s="86">
        <v>3349.28</v>
      </c>
      <c r="K155" s="86">
        <v>17961.43</v>
      </c>
      <c r="L155" s="86">
        <f>I155+J155+K155</f>
        <v>117747.13</v>
      </c>
      <c r="M155" s="87">
        <v>0.18</v>
      </c>
    </row>
    <row r="156" spans="1:13" ht="16.5" customHeight="1">
      <c r="A156" s="318"/>
      <c r="B156" s="98" t="s">
        <v>23</v>
      </c>
      <c r="C156" s="96" t="s">
        <v>533</v>
      </c>
      <c r="D156" s="96"/>
      <c r="E156" s="91"/>
      <c r="F156" s="91"/>
      <c r="G156" s="91"/>
      <c r="H156" s="96"/>
      <c r="I156" s="96"/>
      <c r="J156" s="96"/>
      <c r="K156" s="96"/>
      <c r="L156" s="96"/>
      <c r="M156" s="99"/>
    </row>
    <row r="157" spans="1:13" ht="16.5" customHeight="1">
      <c r="A157" s="318"/>
      <c r="B157" s="83" t="s">
        <v>32</v>
      </c>
      <c r="C157" s="84" t="s">
        <v>536</v>
      </c>
      <c r="D157" s="83" t="s">
        <v>5</v>
      </c>
      <c r="E157" s="83">
        <v>7131960520</v>
      </c>
      <c r="F157" s="88">
        <v>31500</v>
      </c>
      <c r="G157" s="88">
        <v>1432.5</v>
      </c>
      <c r="H157" s="88">
        <v>42153.599999999999</v>
      </c>
      <c r="I157" s="86">
        <v>31500</v>
      </c>
      <c r="J157" s="86">
        <v>1435.41</v>
      </c>
      <c r="K157" s="86">
        <v>5928.37</v>
      </c>
      <c r="L157" s="86">
        <f>I157+J157+K157</f>
        <v>38863.780000000006</v>
      </c>
      <c r="M157" s="87">
        <v>0.18</v>
      </c>
    </row>
    <row r="158" spans="1:13" ht="27" customHeight="1">
      <c r="A158" s="319"/>
      <c r="B158" s="83" t="s">
        <v>15</v>
      </c>
      <c r="C158" s="84" t="s">
        <v>537</v>
      </c>
      <c r="D158" s="83" t="s">
        <v>5</v>
      </c>
      <c r="E158" s="83">
        <v>7131960522</v>
      </c>
      <c r="F158" s="88">
        <v>31500</v>
      </c>
      <c r="G158" s="88">
        <v>1432.5</v>
      </c>
      <c r="H158" s="88">
        <v>42153.599999999999</v>
      </c>
      <c r="I158" s="86">
        <v>31500</v>
      </c>
      <c r="J158" s="86">
        <v>1435.41</v>
      </c>
      <c r="K158" s="86">
        <v>5928.37</v>
      </c>
      <c r="L158" s="86">
        <f>I158+J158+K158</f>
        <v>38863.780000000006</v>
      </c>
      <c r="M158" s="87">
        <v>0.18</v>
      </c>
    </row>
    <row r="159" spans="1:13" ht="20.25" customHeight="1">
      <c r="A159" s="317">
        <v>88</v>
      </c>
      <c r="B159" s="83"/>
      <c r="C159" s="91" t="s">
        <v>539</v>
      </c>
      <c r="D159" s="103"/>
      <c r="E159" s="103"/>
      <c r="F159" s="103"/>
      <c r="G159" s="103"/>
      <c r="H159" s="103"/>
      <c r="I159" s="103"/>
      <c r="J159" s="103"/>
      <c r="K159" s="103"/>
      <c r="L159" s="103"/>
      <c r="M159" s="87"/>
    </row>
    <row r="160" spans="1:13" ht="27" customHeight="1">
      <c r="A160" s="318"/>
      <c r="B160" s="100" t="s">
        <v>27</v>
      </c>
      <c r="C160" s="103" t="s">
        <v>540</v>
      </c>
      <c r="D160" s="83" t="s">
        <v>5</v>
      </c>
      <c r="E160" s="97">
        <v>7131943380</v>
      </c>
      <c r="F160" s="97">
        <v>196529.76</v>
      </c>
      <c r="G160" s="88">
        <v>5730</v>
      </c>
      <c r="H160" s="88">
        <v>238666.52</v>
      </c>
      <c r="I160" s="86">
        <v>194147.66</v>
      </c>
      <c r="J160" s="86">
        <v>5741.63</v>
      </c>
      <c r="K160" s="86">
        <v>35980.11</v>
      </c>
      <c r="L160" s="86">
        <f>I160+J160+K160</f>
        <v>235869.40000000002</v>
      </c>
      <c r="M160" s="87">
        <v>0.18</v>
      </c>
    </row>
    <row r="161" spans="1:13" ht="18" customHeight="1">
      <c r="A161" s="318"/>
      <c r="B161" s="100" t="s">
        <v>18</v>
      </c>
      <c r="C161" s="91" t="s">
        <v>541</v>
      </c>
      <c r="D161" s="103"/>
      <c r="E161" s="103"/>
      <c r="F161" s="103"/>
      <c r="G161" s="103"/>
      <c r="H161" s="103"/>
      <c r="I161" s="103"/>
      <c r="J161" s="103"/>
      <c r="K161" s="103"/>
      <c r="L161" s="103"/>
      <c r="M161" s="87"/>
    </row>
    <row r="162" spans="1:13" ht="27.75" customHeight="1">
      <c r="A162" s="318"/>
      <c r="B162" s="83" t="s">
        <v>8</v>
      </c>
      <c r="C162" s="84" t="s">
        <v>542</v>
      </c>
      <c r="D162" s="83" t="s">
        <v>5</v>
      </c>
      <c r="E162" s="83">
        <v>7131960524</v>
      </c>
      <c r="F162" s="88">
        <v>31500</v>
      </c>
      <c r="G162" s="88">
        <v>1432.5</v>
      </c>
      <c r="H162" s="88">
        <v>42153.599999999999</v>
      </c>
      <c r="I162" s="86">
        <v>31500</v>
      </c>
      <c r="J162" s="86">
        <v>1435.41</v>
      </c>
      <c r="K162" s="86">
        <v>5928.37</v>
      </c>
      <c r="L162" s="86">
        <f>I162+J162+K162</f>
        <v>38863.780000000006</v>
      </c>
      <c r="M162" s="87">
        <v>0.18</v>
      </c>
    </row>
    <row r="163" spans="1:13" ht="28.5" customHeight="1">
      <c r="A163" s="319"/>
      <c r="B163" s="83" t="s">
        <v>15</v>
      </c>
      <c r="C163" s="103" t="s">
        <v>545</v>
      </c>
      <c r="D163" s="83" t="s">
        <v>5</v>
      </c>
      <c r="E163" s="83">
        <v>7131960919</v>
      </c>
      <c r="F163" s="88">
        <v>31500</v>
      </c>
      <c r="G163" s="88">
        <v>1432.5</v>
      </c>
      <c r="H163" s="88">
        <v>42153.599999999999</v>
      </c>
      <c r="I163" s="86">
        <v>31500</v>
      </c>
      <c r="J163" s="86">
        <v>1435.41</v>
      </c>
      <c r="K163" s="86">
        <v>5928.37</v>
      </c>
      <c r="L163" s="86">
        <f>I163+J163+K163</f>
        <v>38863.780000000006</v>
      </c>
      <c r="M163" s="87">
        <v>0.18</v>
      </c>
    </row>
    <row r="164" spans="1:13" s="23" customFormat="1" ht="30" customHeight="1">
      <c r="A164" s="83">
        <v>95</v>
      </c>
      <c r="B164" s="83" t="s">
        <v>8</v>
      </c>
      <c r="C164" s="107" t="s">
        <v>42</v>
      </c>
      <c r="D164" s="83" t="s">
        <v>5</v>
      </c>
      <c r="E164" s="83">
        <v>7132444005</v>
      </c>
      <c r="F164" s="83">
        <v>5.37</v>
      </c>
      <c r="G164" s="83">
        <v>0.33</v>
      </c>
      <c r="H164" s="88">
        <v>6.73</v>
      </c>
      <c r="I164" s="88">
        <v>5.73</v>
      </c>
      <c r="J164" s="88">
        <v>0.33</v>
      </c>
      <c r="K164" s="88">
        <v>1.03</v>
      </c>
      <c r="L164" s="88">
        <v>6.73</v>
      </c>
      <c r="M164" s="116">
        <v>0.18</v>
      </c>
    </row>
    <row r="165" spans="1:13" ht="19.5" customHeight="1">
      <c r="A165" s="322">
        <v>107</v>
      </c>
      <c r="B165" s="83"/>
      <c r="C165" s="91" t="s">
        <v>660</v>
      </c>
      <c r="D165" s="91"/>
      <c r="E165" s="91"/>
      <c r="F165" s="91"/>
      <c r="G165" s="91"/>
      <c r="H165" s="91"/>
      <c r="I165" s="91"/>
      <c r="J165" s="91"/>
      <c r="K165" s="91"/>
      <c r="L165" s="91"/>
      <c r="M165" s="87"/>
    </row>
    <row r="166" spans="1:13" ht="14.25" customHeight="1">
      <c r="A166" s="322"/>
      <c r="B166" s="83" t="s">
        <v>8</v>
      </c>
      <c r="C166" s="107" t="s">
        <v>661</v>
      </c>
      <c r="D166" s="83" t="s">
        <v>48</v>
      </c>
      <c r="E166" s="83">
        <v>7131900969</v>
      </c>
      <c r="F166" s="83">
        <v>483.75</v>
      </c>
      <c r="G166" s="83">
        <v>5.44</v>
      </c>
      <c r="H166" s="88">
        <v>577.25</v>
      </c>
      <c r="I166" s="86">
        <v>483.75</v>
      </c>
      <c r="J166" s="86">
        <v>5.44</v>
      </c>
      <c r="K166" s="86">
        <f t="shared" ref="K166:K172" si="5">+(I166+J166)*0.18</f>
        <v>88.054199999999994</v>
      </c>
      <c r="L166" s="86">
        <f t="shared" ref="L166:L172" si="6">SUM(I166:K166)</f>
        <v>577.24419999999998</v>
      </c>
      <c r="M166" s="102" t="s">
        <v>700</v>
      </c>
    </row>
    <row r="167" spans="1:13" ht="14.25" customHeight="1">
      <c r="A167" s="322"/>
      <c r="B167" s="83" t="s">
        <v>11</v>
      </c>
      <c r="C167" s="107" t="s">
        <v>662</v>
      </c>
      <c r="D167" s="83" t="s">
        <v>48</v>
      </c>
      <c r="E167" s="83">
        <v>7131900971</v>
      </c>
      <c r="F167" s="83">
        <v>483.75</v>
      </c>
      <c r="G167" s="83">
        <v>5.44</v>
      </c>
      <c r="H167" s="88">
        <v>577.25</v>
      </c>
      <c r="I167" s="86">
        <v>483.75</v>
      </c>
      <c r="J167" s="86">
        <v>5.44</v>
      </c>
      <c r="K167" s="86">
        <f t="shared" si="5"/>
        <v>88.054199999999994</v>
      </c>
      <c r="L167" s="86">
        <f t="shared" si="6"/>
        <v>577.24419999999998</v>
      </c>
      <c r="M167" s="102" t="s">
        <v>700</v>
      </c>
    </row>
    <row r="168" spans="1:13" ht="14.25" customHeight="1">
      <c r="A168" s="322"/>
      <c r="B168" s="83" t="s">
        <v>32</v>
      </c>
      <c r="C168" s="107" t="s">
        <v>663</v>
      </c>
      <c r="D168" s="83" t="s">
        <v>48</v>
      </c>
      <c r="E168" s="83">
        <v>7131900973</v>
      </c>
      <c r="F168" s="83">
        <v>483.75</v>
      </c>
      <c r="G168" s="83">
        <v>5.44</v>
      </c>
      <c r="H168" s="88">
        <v>577.25</v>
      </c>
      <c r="I168" s="86">
        <v>483.75</v>
      </c>
      <c r="J168" s="86">
        <v>5.44</v>
      </c>
      <c r="K168" s="86">
        <f t="shared" si="5"/>
        <v>88.054199999999994</v>
      </c>
      <c r="L168" s="86">
        <f t="shared" si="6"/>
        <v>577.24419999999998</v>
      </c>
      <c r="M168" s="102" t="s">
        <v>700</v>
      </c>
    </row>
    <row r="169" spans="1:13" ht="14.25" customHeight="1">
      <c r="A169" s="322"/>
      <c r="B169" s="83" t="s">
        <v>15</v>
      </c>
      <c r="C169" s="107" t="s">
        <v>664</v>
      </c>
      <c r="D169" s="83" t="s">
        <v>48</v>
      </c>
      <c r="E169" s="83">
        <v>7131900975</v>
      </c>
      <c r="F169" s="83">
        <v>483.75</v>
      </c>
      <c r="G169" s="83">
        <v>5.44</v>
      </c>
      <c r="H169" s="88">
        <v>577.25</v>
      </c>
      <c r="I169" s="86">
        <v>483.75</v>
      </c>
      <c r="J169" s="86">
        <v>5.44</v>
      </c>
      <c r="K169" s="86">
        <f t="shared" si="5"/>
        <v>88.054199999999994</v>
      </c>
      <c r="L169" s="86">
        <f t="shared" si="6"/>
        <v>577.24419999999998</v>
      </c>
      <c r="M169" s="102" t="s">
        <v>700</v>
      </c>
    </row>
    <row r="170" spans="1:13" ht="14.25" customHeight="1">
      <c r="A170" s="322"/>
      <c r="B170" s="83" t="s">
        <v>88</v>
      </c>
      <c r="C170" s="107" t="s">
        <v>665</v>
      </c>
      <c r="D170" s="83" t="s">
        <v>48</v>
      </c>
      <c r="E170" s="83">
        <v>7131900977</v>
      </c>
      <c r="F170" s="83">
        <v>483.75</v>
      </c>
      <c r="G170" s="83">
        <v>5.44</v>
      </c>
      <c r="H170" s="88">
        <v>577.25</v>
      </c>
      <c r="I170" s="86">
        <v>483.75</v>
      </c>
      <c r="J170" s="86">
        <v>5.44</v>
      </c>
      <c r="K170" s="86">
        <f t="shared" si="5"/>
        <v>88.054199999999994</v>
      </c>
      <c r="L170" s="86">
        <f t="shared" si="6"/>
        <v>577.24419999999998</v>
      </c>
      <c r="M170" s="102" t="s">
        <v>700</v>
      </c>
    </row>
    <row r="171" spans="1:13" ht="14.25" customHeight="1">
      <c r="A171" s="322"/>
      <c r="B171" s="83" t="s">
        <v>108</v>
      </c>
      <c r="C171" s="107" t="s">
        <v>666</v>
      </c>
      <c r="D171" s="83" t="s">
        <v>48</v>
      </c>
      <c r="E171" s="83">
        <v>7131900979</v>
      </c>
      <c r="F171" s="83">
        <v>483.75</v>
      </c>
      <c r="G171" s="83">
        <v>5.44</v>
      </c>
      <c r="H171" s="88">
        <v>577.25</v>
      </c>
      <c r="I171" s="86">
        <v>483.75</v>
      </c>
      <c r="J171" s="86">
        <v>5.44</v>
      </c>
      <c r="K171" s="86">
        <f t="shared" si="5"/>
        <v>88.054199999999994</v>
      </c>
      <c r="L171" s="86">
        <f t="shared" si="6"/>
        <v>577.24419999999998</v>
      </c>
      <c r="M171" s="102" t="s">
        <v>700</v>
      </c>
    </row>
    <row r="172" spans="1:13" ht="27.75" customHeight="1">
      <c r="A172" s="322"/>
      <c r="B172" s="83" t="s">
        <v>56</v>
      </c>
      <c r="C172" s="107" t="s">
        <v>667</v>
      </c>
      <c r="D172" s="83" t="s">
        <v>48</v>
      </c>
      <c r="E172" s="83">
        <v>7131900981</v>
      </c>
      <c r="F172" s="83">
        <v>483.75</v>
      </c>
      <c r="G172" s="83">
        <v>5.44</v>
      </c>
      <c r="H172" s="88">
        <v>577.25</v>
      </c>
      <c r="I172" s="86">
        <v>483.75</v>
      </c>
      <c r="J172" s="86">
        <v>5.44</v>
      </c>
      <c r="K172" s="86">
        <f t="shared" si="5"/>
        <v>88.054199999999994</v>
      </c>
      <c r="L172" s="86">
        <f t="shared" si="6"/>
        <v>577.24419999999998</v>
      </c>
      <c r="M172" s="102" t="s">
        <v>700</v>
      </c>
    </row>
    <row r="173" spans="1:13">
      <c r="A173" s="74"/>
      <c r="B173" s="74"/>
      <c r="C173" s="74"/>
      <c r="D173" s="74"/>
      <c r="E173" s="115"/>
      <c r="F173" s="115"/>
      <c r="G173" s="115"/>
      <c r="H173" s="115"/>
      <c r="I173" s="115"/>
      <c r="J173" s="115"/>
      <c r="K173" s="115"/>
      <c r="L173" s="115"/>
      <c r="M173" s="120"/>
    </row>
    <row r="181" spans="1:13">
      <c r="A181" s="15"/>
      <c r="B181" s="18"/>
      <c r="C181" s="24"/>
      <c r="D181" s="25"/>
      <c r="E181" s="26"/>
      <c r="F181" s="26"/>
      <c r="G181" s="26"/>
      <c r="H181" s="27"/>
      <c r="I181" s="27"/>
      <c r="J181" s="27"/>
      <c r="K181" s="27"/>
      <c r="L181" s="27"/>
    </row>
    <row r="182" spans="1:13">
      <c r="A182" s="15"/>
      <c r="B182" s="18"/>
      <c r="C182" s="24"/>
      <c r="D182" s="25"/>
      <c r="E182" s="26"/>
      <c r="F182" s="26"/>
      <c r="G182" s="26"/>
      <c r="H182" s="27"/>
      <c r="I182" s="27"/>
      <c r="J182" s="27"/>
      <c r="K182" s="27"/>
      <c r="L182" s="27"/>
    </row>
    <row r="185" spans="1:13">
      <c r="B185" s="15"/>
      <c r="C185" s="29"/>
      <c r="D185" s="30"/>
      <c r="E185" s="30"/>
      <c r="F185" s="30"/>
      <c r="G185" s="30"/>
      <c r="H185" s="19"/>
      <c r="I185" s="19"/>
      <c r="J185" s="19"/>
      <c r="K185" s="19"/>
      <c r="L185" s="19"/>
      <c r="M185" s="31"/>
    </row>
    <row r="186" spans="1:13">
      <c r="B186" s="15"/>
      <c r="C186" s="29"/>
      <c r="D186" s="30"/>
      <c r="E186" s="30"/>
      <c r="F186" s="30"/>
      <c r="G186" s="30"/>
      <c r="H186" s="19"/>
      <c r="I186" s="19"/>
      <c r="J186" s="19"/>
      <c r="K186" s="19"/>
      <c r="L186" s="19"/>
      <c r="M186" s="31"/>
    </row>
    <row r="187" spans="1:13">
      <c r="B187" s="15"/>
      <c r="C187" s="29"/>
      <c r="D187" s="30"/>
      <c r="E187" s="30"/>
      <c r="F187" s="30"/>
      <c r="G187" s="30"/>
      <c r="H187" s="19"/>
      <c r="I187" s="19"/>
      <c r="J187" s="19"/>
      <c r="K187" s="19"/>
      <c r="L187" s="19"/>
      <c r="M187" s="31"/>
    </row>
    <row r="188" spans="1:13">
      <c r="B188" s="15"/>
      <c r="C188" s="29"/>
      <c r="D188" s="30"/>
      <c r="E188" s="30"/>
      <c r="F188" s="30"/>
      <c r="G188" s="30"/>
      <c r="H188" s="19"/>
      <c r="I188" s="19"/>
      <c r="J188" s="19"/>
      <c r="K188" s="19"/>
      <c r="L188" s="19"/>
      <c r="M188" s="31"/>
    </row>
    <row r="189" spans="1:13">
      <c r="B189" s="15"/>
      <c r="C189" s="29"/>
      <c r="D189" s="30"/>
      <c r="E189" s="30"/>
      <c r="F189" s="30"/>
      <c r="G189" s="30"/>
      <c r="H189" s="19"/>
      <c r="I189" s="19"/>
      <c r="J189" s="19"/>
      <c r="K189" s="19"/>
      <c r="L189" s="19"/>
      <c r="M189" s="31"/>
    </row>
    <row r="190" spans="1:13">
      <c r="B190" s="15"/>
      <c r="C190" s="29"/>
      <c r="D190" s="30"/>
      <c r="E190" s="30"/>
      <c r="F190" s="30"/>
      <c r="G190" s="30"/>
      <c r="H190" s="19"/>
      <c r="I190" s="19"/>
      <c r="J190" s="19"/>
      <c r="K190" s="19"/>
      <c r="L190" s="19"/>
      <c r="M190" s="31"/>
    </row>
    <row r="191" spans="1:13">
      <c r="B191" s="15"/>
      <c r="C191" s="29"/>
      <c r="D191" s="30"/>
      <c r="E191" s="30"/>
      <c r="F191" s="30"/>
      <c r="G191" s="30"/>
      <c r="H191" s="19"/>
      <c r="I191" s="19"/>
      <c r="J191" s="19"/>
      <c r="K191" s="19"/>
      <c r="L191" s="19"/>
      <c r="M191" s="31"/>
    </row>
    <row r="192" spans="1:13">
      <c r="B192" s="15"/>
      <c r="C192" s="29"/>
      <c r="D192" s="30"/>
      <c r="E192" s="30"/>
      <c r="F192" s="30"/>
      <c r="G192" s="30"/>
      <c r="H192" s="19"/>
      <c r="I192" s="19"/>
      <c r="J192" s="19"/>
      <c r="K192" s="19"/>
      <c r="L192" s="19"/>
      <c r="M192" s="31"/>
    </row>
    <row r="193" spans="2:13">
      <c r="B193" s="15"/>
      <c r="C193" s="29"/>
      <c r="D193" s="30"/>
      <c r="E193" s="30"/>
      <c r="F193" s="30"/>
      <c r="G193" s="30"/>
      <c r="H193" s="19"/>
      <c r="I193" s="19"/>
      <c r="J193" s="19"/>
      <c r="K193" s="19"/>
      <c r="L193" s="19"/>
      <c r="M193" s="31"/>
    </row>
    <row r="194" spans="2:13">
      <c r="B194" s="15"/>
      <c r="C194" s="29"/>
      <c r="D194" s="30"/>
      <c r="E194" s="30"/>
      <c r="F194" s="30"/>
      <c r="G194" s="30"/>
      <c r="H194" s="19"/>
      <c r="I194" s="19"/>
      <c r="J194" s="19"/>
      <c r="K194" s="19"/>
      <c r="L194" s="19"/>
      <c r="M194" s="31"/>
    </row>
    <row r="195" spans="2:13">
      <c r="B195" s="15"/>
      <c r="C195" s="29"/>
      <c r="D195" s="30"/>
      <c r="E195" s="30"/>
      <c r="F195" s="30"/>
      <c r="G195" s="30"/>
      <c r="H195" s="19"/>
      <c r="I195" s="19"/>
      <c r="J195" s="19"/>
      <c r="K195" s="19"/>
      <c r="L195" s="19"/>
      <c r="M195" s="31"/>
    </row>
    <row r="196" spans="2:13">
      <c r="B196" s="15"/>
      <c r="C196" s="29"/>
      <c r="D196" s="30"/>
      <c r="E196" s="30"/>
      <c r="F196" s="30"/>
      <c r="G196" s="30"/>
      <c r="H196" s="19"/>
      <c r="I196" s="19"/>
      <c r="J196" s="19"/>
      <c r="K196" s="19"/>
      <c r="L196" s="19"/>
      <c r="M196" s="31"/>
    </row>
  </sheetData>
  <mergeCells count="43">
    <mergeCell ref="A165:A172"/>
    <mergeCell ref="A130:A135"/>
    <mergeCell ref="A136:A140"/>
    <mergeCell ref="A145:A153"/>
    <mergeCell ref="A154:A158"/>
    <mergeCell ref="A159:A163"/>
    <mergeCell ref="N99:N100"/>
    <mergeCell ref="A101:A102"/>
    <mergeCell ref="A128:A129"/>
    <mergeCell ref="A107:A115"/>
    <mergeCell ref="N110:N111"/>
    <mergeCell ref="N112:N113"/>
    <mergeCell ref="N114:N115"/>
    <mergeCell ref="A116:A117"/>
    <mergeCell ref="A119:A120"/>
    <mergeCell ref="A121:A124"/>
    <mergeCell ref="A125:A127"/>
    <mergeCell ref="A103:A106"/>
    <mergeCell ref="A90:A97"/>
    <mergeCell ref="A98:A100"/>
    <mergeCell ref="A57:A60"/>
    <mergeCell ref="A61:A64"/>
    <mergeCell ref="A65:A71"/>
    <mergeCell ref="A72:A89"/>
    <mergeCell ref="M5:M6"/>
    <mergeCell ref="B7:C7"/>
    <mergeCell ref="A47:A56"/>
    <mergeCell ref="A22:A24"/>
    <mergeCell ref="A25:A27"/>
    <mergeCell ref="A28:A31"/>
    <mergeCell ref="A8:A21"/>
    <mergeCell ref="A32:A34"/>
    <mergeCell ref="A36:A38"/>
    <mergeCell ref="A39:A45"/>
    <mergeCell ref="B1:J1"/>
    <mergeCell ref="K2:L2"/>
    <mergeCell ref="K3:L3"/>
    <mergeCell ref="A5:A6"/>
    <mergeCell ref="B5:C6"/>
    <mergeCell ref="D5:D6"/>
    <mergeCell ref="E5:E6"/>
    <mergeCell ref="F5:H5"/>
    <mergeCell ref="I5:L5"/>
  </mergeCells>
  <pageMargins left="0.69" right="0.196850393700787" top="0.59" bottom="1.27" header="0.47" footer="0.15748031496063"/>
  <pageSetup paperSize="9" scale="9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05"/>
  <sheetViews>
    <sheetView workbookViewId="0">
      <selection activeCell="L7" sqref="L7"/>
    </sheetView>
  </sheetViews>
  <sheetFormatPr defaultRowHeight="12.75"/>
  <cols>
    <col min="1" max="1" width="4.5703125" style="13" customWidth="1"/>
    <col min="2" max="2" width="5.140625" style="13" customWidth="1"/>
    <col min="3" max="3" width="37.7109375" style="13" customWidth="1"/>
    <col min="4" max="4" width="6" style="13" customWidth="1"/>
    <col min="5" max="5" width="12.7109375" style="13" customWidth="1"/>
    <col min="6" max="6" width="11.85546875" style="13" customWidth="1"/>
    <col min="7" max="7" width="12.140625" style="13" customWidth="1"/>
    <col min="8" max="8" width="11.140625" style="13" customWidth="1"/>
    <col min="9" max="9" width="16.7109375" style="13" customWidth="1"/>
    <col min="10" max="10" width="5.7109375" style="13" customWidth="1"/>
    <col min="11" max="11" width="16.5703125" style="13" customWidth="1"/>
    <col min="12" max="12" width="11" style="13" customWidth="1"/>
    <col min="13" max="16384" width="9.140625" style="13"/>
  </cols>
  <sheetData>
    <row r="1" spans="1:11" ht="18">
      <c r="A1" s="10"/>
      <c r="B1" s="308" t="s">
        <v>689</v>
      </c>
      <c r="C1" s="308"/>
      <c r="D1" s="308"/>
      <c r="E1" s="308"/>
      <c r="F1" s="308"/>
      <c r="G1" s="308"/>
      <c r="H1" s="308"/>
      <c r="I1" s="308"/>
      <c r="J1" s="12"/>
    </row>
    <row r="2" spans="1:11" ht="18">
      <c r="A2" s="10"/>
      <c r="B2" s="14"/>
      <c r="C2" s="14"/>
      <c r="D2" s="14"/>
      <c r="E2" s="14"/>
      <c r="F2" s="14"/>
      <c r="G2" s="14"/>
      <c r="H2" s="14"/>
      <c r="I2" s="309" t="s">
        <v>690</v>
      </c>
      <c r="J2" s="309"/>
    </row>
    <row r="3" spans="1:11" ht="15">
      <c r="A3" s="10"/>
      <c r="B3" s="10"/>
      <c r="C3" s="10"/>
      <c r="D3" s="15"/>
      <c r="E3" s="15"/>
      <c r="F3" s="12"/>
      <c r="G3" s="12"/>
      <c r="H3" s="12"/>
      <c r="I3" s="334" t="s">
        <v>92</v>
      </c>
      <c r="J3" s="334"/>
    </row>
    <row r="4" spans="1:11" ht="15.75" customHeight="1">
      <c r="A4" s="327" t="s">
        <v>91</v>
      </c>
      <c r="B4" s="329" t="s">
        <v>6</v>
      </c>
      <c r="C4" s="330"/>
      <c r="D4" s="336" t="s">
        <v>1</v>
      </c>
      <c r="E4" s="336" t="s">
        <v>0</v>
      </c>
      <c r="F4" s="337" t="s">
        <v>704</v>
      </c>
      <c r="G4" s="335" t="s">
        <v>775</v>
      </c>
      <c r="H4" s="335"/>
      <c r="I4" s="335"/>
      <c r="J4" s="45"/>
    </row>
    <row r="5" spans="1:11" ht="82.5" customHeight="1">
      <c r="A5" s="328"/>
      <c r="B5" s="331"/>
      <c r="C5" s="332"/>
      <c r="D5" s="336"/>
      <c r="E5" s="336"/>
      <c r="F5" s="338"/>
      <c r="G5" s="46" t="s">
        <v>701</v>
      </c>
      <c r="H5" s="46" t="s">
        <v>95</v>
      </c>
      <c r="I5" s="39" t="s">
        <v>712</v>
      </c>
      <c r="J5" s="46" t="s">
        <v>692</v>
      </c>
    </row>
    <row r="6" spans="1:11" ht="15">
      <c r="A6" s="16">
        <v>1</v>
      </c>
      <c r="B6" s="315">
        <v>2</v>
      </c>
      <c r="C6" s="316"/>
      <c r="D6" s="16">
        <v>3</v>
      </c>
      <c r="E6" s="16">
        <v>4</v>
      </c>
      <c r="F6" s="16">
        <v>5</v>
      </c>
      <c r="G6" s="21">
        <v>6</v>
      </c>
      <c r="H6" s="21">
        <v>7</v>
      </c>
      <c r="I6" s="21">
        <v>8</v>
      </c>
      <c r="J6" s="16">
        <v>9</v>
      </c>
    </row>
    <row r="7" spans="1:11" ht="29.25" customHeight="1">
      <c r="A7" s="317">
        <v>1</v>
      </c>
      <c r="B7" s="76" t="s">
        <v>18</v>
      </c>
      <c r="C7" s="91" t="s">
        <v>102</v>
      </c>
      <c r="D7" s="75"/>
      <c r="E7" s="75"/>
      <c r="F7" s="75"/>
      <c r="G7" s="86"/>
      <c r="H7" s="86"/>
      <c r="I7" s="86"/>
      <c r="J7" s="75"/>
      <c r="K7" s="37"/>
    </row>
    <row r="8" spans="1:11" ht="27.75" customHeight="1">
      <c r="A8" s="318"/>
      <c r="B8" s="83" t="s">
        <v>108</v>
      </c>
      <c r="C8" s="84" t="s">
        <v>109</v>
      </c>
      <c r="D8" s="83" t="s">
        <v>5</v>
      </c>
      <c r="E8" s="85">
        <v>7132210012</v>
      </c>
      <c r="F8" s="83">
        <f>321253.51+(2865*1.88)</f>
        <v>326639.71000000002</v>
      </c>
      <c r="G8" s="92" t="s">
        <v>707</v>
      </c>
      <c r="H8" s="86"/>
      <c r="I8" s="92" t="s">
        <v>707</v>
      </c>
      <c r="J8" s="87"/>
      <c r="K8" s="180"/>
    </row>
    <row r="9" spans="1:11" ht="30.75" customHeight="1">
      <c r="A9" s="319"/>
      <c r="B9" s="83" t="s">
        <v>56</v>
      </c>
      <c r="C9" s="84" t="s">
        <v>110</v>
      </c>
      <c r="D9" s="83" t="s">
        <v>5</v>
      </c>
      <c r="E9" s="85">
        <v>7132210015</v>
      </c>
      <c r="F9" s="83">
        <f>535753.49+(4775*1.88)</f>
        <v>544730.49</v>
      </c>
      <c r="G9" s="92" t="s">
        <v>707</v>
      </c>
      <c r="H9" s="86"/>
      <c r="I9" s="92" t="s">
        <v>707</v>
      </c>
      <c r="J9" s="87"/>
      <c r="K9" s="180"/>
    </row>
    <row r="10" spans="1:11" ht="17.25" customHeight="1">
      <c r="A10" s="320">
        <v>2</v>
      </c>
      <c r="B10" s="121"/>
      <c r="C10" s="91" t="s">
        <v>111</v>
      </c>
      <c r="D10" s="79"/>
      <c r="E10" s="79"/>
      <c r="F10" s="79"/>
      <c r="G10" s="86"/>
      <c r="H10" s="86"/>
      <c r="I10" s="86"/>
      <c r="J10" s="79"/>
      <c r="K10" s="37"/>
    </row>
    <row r="11" spans="1:11" ht="23.25" customHeight="1">
      <c r="A11" s="326"/>
      <c r="B11" s="85" t="s">
        <v>8</v>
      </c>
      <c r="C11" s="84" t="s">
        <v>112</v>
      </c>
      <c r="D11" s="83" t="s">
        <v>5</v>
      </c>
      <c r="E11" s="83">
        <v>7132210215</v>
      </c>
      <c r="F11" s="88">
        <v>113544.55</v>
      </c>
      <c r="G11" s="86">
        <f>F11*0.988</f>
        <v>112182.0154</v>
      </c>
      <c r="H11" s="86">
        <f>G11*18%</f>
        <v>20192.762771999998</v>
      </c>
      <c r="I11" s="86">
        <f>G11+H11</f>
        <v>132374.77817199999</v>
      </c>
      <c r="J11" s="87">
        <v>0.18</v>
      </c>
      <c r="K11" s="180"/>
    </row>
    <row r="12" spans="1:11" ht="18.75" customHeight="1">
      <c r="A12" s="320">
        <v>3</v>
      </c>
      <c r="B12" s="89"/>
      <c r="C12" s="91" t="s">
        <v>693</v>
      </c>
      <c r="D12" s="95"/>
      <c r="E12" s="95"/>
      <c r="F12" s="122"/>
      <c r="G12" s="86"/>
      <c r="H12" s="86"/>
      <c r="I12" s="86"/>
      <c r="J12" s="181"/>
      <c r="K12" s="37"/>
    </row>
    <row r="13" spans="1:11" ht="18.75" customHeight="1">
      <c r="A13" s="326"/>
      <c r="B13" s="83" t="s">
        <v>8</v>
      </c>
      <c r="C13" s="84" t="s">
        <v>114</v>
      </c>
      <c r="D13" s="83" t="s">
        <v>5</v>
      </c>
      <c r="E13" s="97">
        <v>7132220091</v>
      </c>
      <c r="F13" s="88">
        <v>669757.17000000004</v>
      </c>
      <c r="G13" s="86">
        <f>F13*0.988</f>
        <v>661720.08396000008</v>
      </c>
      <c r="H13" s="86">
        <f>G13*18%</f>
        <v>119109.61511280001</v>
      </c>
      <c r="I13" s="86">
        <f>G13+H13</f>
        <v>780829.69907280011</v>
      </c>
      <c r="J13" s="87">
        <v>0.18</v>
      </c>
      <c r="K13" s="180"/>
    </row>
    <row r="14" spans="1:11" ht="18.75" customHeight="1">
      <c r="A14" s="317">
        <v>5</v>
      </c>
      <c r="B14" s="95"/>
      <c r="C14" s="103" t="s">
        <v>715</v>
      </c>
      <c r="D14" s="95"/>
      <c r="E14" s="123"/>
      <c r="F14" s="122"/>
      <c r="G14" s="86"/>
      <c r="H14" s="86"/>
      <c r="I14" s="86"/>
      <c r="J14" s="181"/>
      <c r="K14" s="37"/>
    </row>
    <row r="15" spans="1:11" ht="18.75" customHeight="1">
      <c r="A15" s="318"/>
      <c r="B15" s="83" t="s">
        <v>8</v>
      </c>
      <c r="C15" s="84" t="s">
        <v>122</v>
      </c>
      <c r="D15" s="83" t="s">
        <v>5</v>
      </c>
      <c r="E15" s="97">
        <v>7131930110</v>
      </c>
      <c r="F15" s="88">
        <v>1277.27</v>
      </c>
      <c r="G15" s="86">
        <f>F15*1.036</f>
        <v>1323.25172</v>
      </c>
      <c r="H15" s="86">
        <f>G15*18%</f>
        <v>238.18530959999998</v>
      </c>
      <c r="I15" s="86">
        <f>G15+H15</f>
        <v>1561.4370296</v>
      </c>
      <c r="J15" s="87">
        <v>0.18</v>
      </c>
      <c r="K15" s="37"/>
    </row>
    <row r="16" spans="1:11" ht="20.25" customHeight="1">
      <c r="A16" s="319"/>
      <c r="B16" s="83" t="s">
        <v>11</v>
      </c>
      <c r="C16" s="84" t="s">
        <v>123</v>
      </c>
      <c r="D16" s="83" t="s">
        <v>5</v>
      </c>
      <c r="E16" s="97">
        <v>7131930111</v>
      </c>
      <c r="F16" s="88">
        <v>1827.97</v>
      </c>
      <c r="G16" s="86">
        <f>F16*1.036</f>
        <v>1893.77692</v>
      </c>
      <c r="H16" s="86">
        <f>G16*18%</f>
        <v>340.87984560000001</v>
      </c>
      <c r="I16" s="86">
        <f>G16+H16</f>
        <v>2234.6567656000002</v>
      </c>
      <c r="J16" s="87">
        <v>0.18</v>
      </c>
      <c r="K16" s="37"/>
    </row>
    <row r="17" spans="1:11" ht="15.75" customHeight="1">
      <c r="A17" s="317">
        <v>7</v>
      </c>
      <c r="B17" s="95"/>
      <c r="C17" s="91" t="s">
        <v>124</v>
      </c>
      <c r="D17" s="96"/>
      <c r="E17" s="124"/>
      <c r="F17" s="96"/>
      <c r="G17" s="86"/>
      <c r="H17" s="86"/>
      <c r="I17" s="86"/>
      <c r="J17" s="96"/>
      <c r="K17" s="37"/>
    </row>
    <row r="18" spans="1:11" ht="18" customHeight="1">
      <c r="A18" s="318"/>
      <c r="B18" s="83" t="s">
        <v>125</v>
      </c>
      <c r="C18" s="103" t="s">
        <v>126</v>
      </c>
      <c r="D18" s="83" t="s">
        <v>127</v>
      </c>
      <c r="E18" s="97">
        <v>7130601070</v>
      </c>
      <c r="F18" s="88">
        <v>41653.160000000003</v>
      </c>
      <c r="G18" s="86">
        <f>F18*1.031</f>
        <v>42944.407959999997</v>
      </c>
      <c r="H18" s="86">
        <f>G18*18%</f>
        <v>7729.993432799999</v>
      </c>
      <c r="I18" s="86">
        <f>G18+H18</f>
        <v>50674.401392799999</v>
      </c>
      <c r="J18" s="87">
        <v>0.18</v>
      </c>
      <c r="K18" s="37"/>
    </row>
    <row r="19" spans="1:11" ht="20.25" customHeight="1">
      <c r="A19" s="319"/>
      <c r="B19" s="83" t="s">
        <v>128</v>
      </c>
      <c r="C19" s="103" t="s">
        <v>129</v>
      </c>
      <c r="D19" s="83" t="s">
        <v>127</v>
      </c>
      <c r="E19" s="97">
        <v>7130601072</v>
      </c>
      <c r="F19" s="88">
        <v>41653.160000000003</v>
      </c>
      <c r="G19" s="86">
        <f>F19*1.031</f>
        <v>42944.407959999997</v>
      </c>
      <c r="H19" s="86">
        <f>G19*18%</f>
        <v>7729.993432799999</v>
      </c>
      <c r="I19" s="86">
        <f>G19+H19</f>
        <v>50674.401392799999</v>
      </c>
      <c r="J19" s="87">
        <v>0.18</v>
      </c>
      <c r="K19" s="37"/>
    </row>
    <row r="20" spans="1:11" ht="18.75" customHeight="1">
      <c r="A20" s="317">
        <v>9</v>
      </c>
      <c r="B20" s="95"/>
      <c r="C20" s="91" t="s">
        <v>133</v>
      </c>
      <c r="D20" s="96"/>
      <c r="E20" s="96"/>
      <c r="F20" s="125"/>
      <c r="G20" s="125"/>
      <c r="H20" s="125"/>
      <c r="I20" s="125"/>
      <c r="J20" s="125"/>
      <c r="K20" s="37"/>
    </row>
    <row r="21" spans="1:11" ht="17.25" customHeight="1">
      <c r="A21" s="318"/>
      <c r="B21" s="83" t="s">
        <v>125</v>
      </c>
      <c r="C21" s="84" t="s">
        <v>134</v>
      </c>
      <c r="D21" s="83" t="s">
        <v>127</v>
      </c>
      <c r="E21" s="97">
        <v>7130600675</v>
      </c>
      <c r="F21" s="126">
        <v>28376.17</v>
      </c>
      <c r="G21" s="88">
        <v>38064</v>
      </c>
      <c r="H21" s="86">
        <f>G21*18%</f>
        <v>6851.5199999999995</v>
      </c>
      <c r="I21" s="126">
        <f>G21+H21</f>
        <v>44915.519999999997</v>
      </c>
      <c r="J21" s="87">
        <v>0.18</v>
      </c>
      <c r="K21" s="37"/>
    </row>
    <row r="22" spans="1:11" ht="20.25" customHeight="1">
      <c r="A22" s="319"/>
      <c r="B22" s="83" t="s">
        <v>128</v>
      </c>
      <c r="C22" s="84" t="s">
        <v>135</v>
      </c>
      <c r="D22" s="83" t="s">
        <v>127</v>
      </c>
      <c r="E22" s="97">
        <v>7130600635</v>
      </c>
      <c r="F22" s="126">
        <v>24958.2</v>
      </c>
      <c r="G22" s="86">
        <f>F22*1.3414</f>
        <v>33478.929479999999</v>
      </c>
      <c r="H22" s="86">
        <f>G22*18%</f>
        <v>6026.2073063999997</v>
      </c>
      <c r="I22" s="126">
        <f>G22+H22</f>
        <v>39505.136786399999</v>
      </c>
      <c r="J22" s="87">
        <v>0.18</v>
      </c>
      <c r="K22" s="182"/>
    </row>
    <row r="23" spans="1:11" ht="18.75" customHeight="1">
      <c r="A23" s="317">
        <v>11</v>
      </c>
      <c r="B23" s="95"/>
      <c r="C23" s="103" t="s">
        <v>140</v>
      </c>
      <c r="D23" s="79"/>
      <c r="E23" s="127"/>
      <c r="F23" s="79"/>
      <c r="G23" s="86"/>
      <c r="H23" s="86"/>
      <c r="I23" s="86"/>
      <c r="J23" s="79"/>
      <c r="K23" s="37"/>
    </row>
    <row r="24" spans="1:11" ht="18" customHeight="1">
      <c r="A24" s="318"/>
      <c r="B24" s="83" t="s">
        <v>125</v>
      </c>
      <c r="C24" s="84" t="s">
        <v>141</v>
      </c>
      <c r="D24" s="83" t="s">
        <v>127</v>
      </c>
      <c r="E24" s="83">
        <v>7130600230</v>
      </c>
      <c r="F24" s="86">
        <v>29195.55</v>
      </c>
      <c r="G24" s="86">
        <f>F24*1.213</f>
        <v>35414.202150000005</v>
      </c>
      <c r="H24" s="86">
        <f>G24*18%</f>
        <v>6374.5563870000005</v>
      </c>
      <c r="I24" s="86">
        <f>G24+H24</f>
        <v>41788.758537000002</v>
      </c>
      <c r="J24" s="87">
        <v>0.18</v>
      </c>
      <c r="K24" s="37"/>
    </row>
    <row r="25" spans="1:11" ht="19.5" customHeight="1">
      <c r="A25" s="319"/>
      <c r="B25" s="83" t="s">
        <v>128</v>
      </c>
      <c r="C25" s="84" t="s">
        <v>142</v>
      </c>
      <c r="D25" s="83" t="s">
        <v>127</v>
      </c>
      <c r="E25" s="83">
        <v>7130600166</v>
      </c>
      <c r="F25" s="86">
        <v>29195.55</v>
      </c>
      <c r="G25" s="86">
        <f>F25*1.213</f>
        <v>35414.202150000005</v>
      </c>
      <c r="H25" s="86">
        <f>G25*18%</f>
        <v>6374.5563870000005</v>
      </c>
      <c r="I25" s="86">
        <f>G25+H25</f>
        <v>41788.758537000002</v>
      </c>
      <c r="J25" s="87">
        <v>0.18</v>
      </c>
      <c r="K25" s="37"/>
    </row>
    <row r="26" spans="1:11" ht="18.75" customHeight="1">
      <c r="A26" s="317">
        <v>12</v>
      </c>
      <c r="B26" s="95"/>
      <c r="C26" s="103" t="s">
        <v>143</v>
      </c>
      <c r="D26" s="79"/>
      <c r="E26" s="127"/>
      <c r="F26" s="79"/>
      <c r="G26" s="86"/>
      <c r="H26" s="86"/>
      <c r="I26" s="86"/>
      <c r="J26" s="79"/>
      <c r="K26" s="37"/>
    </row>
    <row r="27" spans="1:11" ht="18" customHeight="1">
      <c r="A27" s="318"/>
      <c r="B27" s="83" t="s">
        <v>125</v>
      </c>
      <c r="C27" s="84" t="s">
        <v>144</v>
      </c>
      <c r="D27" s="83" t="s">
        <v>127</v>
      </c>
      <c r="E27" s="83">
        <v>7130600495</v>
      </c>
      <c r="F27" s="86">
        <v>33747.25</v>
      </c>
      <c r="G27" s="86">
        <f>F27*1.142</f>
        <v>38539.359499999999</v>
      </c>
      <c r="H27" s="86">
        <f>G27*18%</f>
        <v>6937.0847099999992</v>
      </c>
      <c r="I27" s="86">
        <f>G27+H27</f>
        <v>45476.444210000001</v>
      </c>
      <c r="J27" s="87">
        <v>0.18</v>
      </c>
      <c r="K27" s="37"/>
    </row>
    <row r="28" spans="1:11" ht="16.5" customHeight="1">
      <c r="A28" s="319"/>
      <c r="B28" s="83" t="s">
        <v>128</v>
      </c>
      <c r="C28" s="84" t="s">
        <v>145</v>
      </c>
      <c r="D28" s="83" t="s">
        <v>127</v>
      </c>
      <c r="E28" s="83">
        <v>7130600173</v>
      </c>
      <c r="F28" s="86">
        <v>33747.25</v>
      </c>
      <c r="G28" s="86">
        <f>F28*1.142</f>
        <v>38539.359499999999</v>
      </c>
      <c r="H28" s="86">
        <f>G28*18%</f>
        <v>6937.0847099999992</v>
      </c>
      <c r="I28" s="86">
        <f>G28+H28</f>
        <v>45476.444210000001</v>
      </c>
      <c r="J28" s="87">
        <v>0.18</v>
      </c>
      <c r="K28" s="37"/>
    </row>
    <row r="29" spans="1:11" ht="18.75" customHeight="1">
      <c r="A29" s="317">
        <v>13</v>
      </c>
      <c r="B29" s="95"/>
      <c r="C29" s="91" t="s">
        <v>146</v>
      </c>
      <c r="D29" s="96"/>
      <c r="E29" s="124"/>
      <c r="F29" s="96"/>
      <c r="G29" s="86"/>
      <c r="H29" s="86"/>
      <c r="I29" s="86"/>
      <c r="J29" s="96"/>
      <c r="K29" s="37"/>
    </row>
    <row r="30" spans="1:11" ht="16.5" customHeight="1">
      <c r="A30" s="318"/>
      <c r="B30" s="83" t="s">
        <v>125</v>
      </c>
      <c r="C30" s="84" t="s">
        <v>147</v>
      </c>
      <c r="D30" s="83" t="s">
        <v>127</v>
      </c>
      <c r="E30" s="97">
        <v>7130600032</v>
      </c>
      <c r="F30" s="86">
        <v>29195.55</v>
      </c>
      <c r="G30" s="86">
        <f>F30*1.213</f>
        <v>35414.202150000005</v>
      </c>
      <c r="H30" s="86">
        <f>G30*18%</f>
        <v>6374.5563870000005</v>
      </c>
      <c r="I30" s="86">
        <f>G30+H30</f>
        <v>41788.758537000002</v>
      </c>
      <c r="J30" s="87">
        <v>0.18</v>
      </c>
      <c r="K30" s="37"/>
    </row>
    <row r="31" spans="1:11" ht="18" customHeight="1">
      <c r="A31" s="318"/>
      <c r="B31" s="83" t="s">
        <v>128</v>
      </c>
      <c r="C31" s="84" t="s">
        <v>148</v>
      </c>
      <c r="D31" s="83" t="s">
        <v>127</v>
      </c>
      <c r="E31" s="97">
        <v>7130600023</v>
      </c>
      <c r="F31" s="86">
        <v>29195.55</v>
      </c>
      <c r="G31" s="86">
        <f>F31*1.213</f>
        <v>35414.202150000005</v>
      </c>
      <c r="H31" s="86">
        <f>G31*18%</f>
        <v>6374.5563870000005</v>
      </c>
      <c r="I31" s="86">
        <f>G31+H31</f>
        <v>41788.758537000002</v>
      </c>
      <c r="J31" s="87">
        <v>0.18</v>
      </c>
      <c r="K31" s="37"/>
    </row>
    <row r="32" spans="1:11" ht="17.25" customHeight="1">
      <c r="A32" s="318"/>
      <c r="B32" s="83" t="s">
        <v>149</v>
      </c>
      <c r="C32" s="84" t="s">
        <v>150</v>
      </c>
      <c r="D32" s="83" t="s">
        <v>127</v>
      </c>
      <c r="E32" s="97">
        <v>7130600051</v>
      </c>
      <c r="F32" s="86">
        <v>29195.55</v>
      </c>
      <c r="G32" s="86">
        <f>F32*1.213</f>
        <v>35414.202150000005</v>
      </c>
      <c r="H32" s="86">
        <f>G32*18%</f>
        <v>6374.5563870000005</v>
      </c>
      <c r="I32" s="86">
        <f>G32+H32</f>
        <v>41788.758537000002</v>
      </c>
      <c r="J32" s="87">
        <v>0.18</v>
      </c>
      <c r="K32" s="37"/>
    </row>
    <row r="33" spans="1:11" ht="18.75" customHeight="1">
      <c r="A33" s="319"/>
      <c r="B33" s="83" t="s">
        <v>307</v>
      </c>
      <c r="C33" s="84" t="s">
        <v>730</v>
      </c>
      <c r="D33" s="83" t="s">
        <v>127</v>
      </c>
      <c r="E33" s="128"/>
      <c r="F33" s="86"/>
      <c r="G33" s="86">
        <f>30.0305010893246*1000</f>
        <v>30030.5010893246</v>
      </c>
      <c r="H33" s="86">
        <f>G33*18%</f>
        <v>5405.4901960784282</v>
      </c>
      <c r="I33" s="86">
        <f>G33+H33</f>
        <v>35435.991285403026</v>
      </c>
      <c r="J33" s="87">
        <v>0.18</v>
      </c>
      <c r="K33" s="37"/>
    </row>
    <row r="34" spans="1:11" ht="18.75" customHeight="1">
      <c r="A34" s="317">
        <v>16</v>
      </c>
      <c r="B34" s="95"/>
      <c r="C34" s="91" t="s">
        <v>161</v>
      </c>
      <c r="D34" s="96"/>
      <c r="E34" s="129"/>
      <c r="F34" s="96"/>
      <c r="G34" s="86"/>
      <c r="H34" s="86"/>
      <c r="I34" s="86"/>
      <c r="J34" s="96"/>
      <c r="K34" s="37"/>
    </row>
    <row r="35" spans="1:11" ht="29.25" customHeight="1">
      <c r="A35" s="318"/>
      <c r="B35" s="83" t="s">
        <v>8</v>
      </c>
      <c r="C35" s="84" t="s">
        <v>162</v>
      </c>
      <c r="D35" s="83" t="s">
        <v>84</v>
      </c>
      <c r="E35" s="97">
        <v>7130830025</v>
      </c>
      <c r="F35" s="92" t="s">
        <v>707</v>
      </c>
      <c r="G35" s="92" t="s">
        <v>707</v>
      </c>
      <c r="H35" s="86"/>
      <c r="I35" s="92" t="s">
        <v>707</v>
      </c>
      <c r="J35" s="165"/>
      <c r="K35" s="37"/>
    </row>
    <row r="36" spans="1:11" ht="28.5" customHeight="1">
      <c r="A36" s="318"/>
      <c r="B36" s="83" t="s">
        <v>11</v>
      </c>
      <c r="C36" s="84" t="s">
        <v>163</v>
      </c>
      <c r="D36" s="83" t="s">
        <v>84</v>
      </c>
      <c r="E36" s="97">
        <v>7130830026</v>
      </c>
      <c r="F36" s="92" t="s">
        <v>707</v>
      </c>
      <c r="G36" s="92" t="s">
        <v>707</v>
      </c>
      <c r="H36" s="86"/>
      <c r="I36" s="92" t="s">
        <v>707</v>
      </c>
      <c r="J36" s="165"/>
      <c r="K36" s="37"/>
    </row>
    <row r="37" spans="1:11" ht="28.5" customHeight="1">
      <c r="A37" s="318"/>
      <c r="B37" s="83" t="s">
        <v>32</v>
      </c>
      <c r="C37" s="84" t="s">
        <v>164</v>
      </c>
      <c r="D37" s="83" t="s">
        <v>84</v>
      </c>
      <c r="E37" s="97">
        <v>7130830027</v>
      </c>
      <c r="F37" s="92" t="s">
        <v>707</v>
      </c>
      <c r="G37" s="92" t="s">
        <v>707</v>
      </c>
      <c r="H37" s="86"/>
      <c r="I37" s="92" t="s">
        <v>707</v>
      </c>
      <c r="J37" s="165"/>
      <c r="K37" s="37"/>
    </row>
    <row r="38" spans="1:11" ht="29.25" customHeight="1">
      <c r="A38" s="318"/>
      <c r="B38" s="83" t="s">
        <v>15</v>
      </c>
      <c r="C38" s="84" t="s">
        <v>158</v>
      </c>
      <c r="D38" s="83" t="s">
        <v>84</v>
      </c>
      <c r="E38" s="97">
        <v>7130830028</v>
      </c>
      <c r="F38" s="92" t="s">
        <v>707</v>
      </c>
      <c r="G38" s="92" t="s">
        <v>707</v>
      </c>
      <c r="H38" s="86"/>
      <c r="I38" s="92" t="s">
        <v>707</v>
      </c>
      <c r="J38" s="165"/>
      <c r="K38" s="37"/>
    </row>
    <row r="39" spans="1:11" ht="19.5" customHeight="1">
      <c r="A39" s="319"/>
      <c r="B39" s="83" t="s">
        <v>88</v>
      </c>
      <c r="C39" s="84" t="s">
        <v>159</v>
      </c>
      <c r="D39" s="83" t="s">
        <v>84</v>
      </c>
      <c r="E39" s="97">
        <v>7130830084</v>
      </c>
      <c r="F39" s="92" t="s">
        <v>707</v>
      </c>
      <c r="G39" s="92" t="s">
        <v>707</v>
      </c>
      <c r="H39" s="86"/>
      <c r="I39" s="92" t="s">
        <v>707</v>
      </c>
      <c r="J39" s="165"/>
      <c r="K39" s="37"/>
    </row>
    <row r="40" spans="1:11" ht="29.25" customHeight="1">
      <c r="A40" s="320">
        <v>17</v>
      </c>
      <c r="B40" s="104"/>
      <c r="C40" s="130" t="s">
        <v>165</v>
      </c>
      <c r="D40" s="131"/>
      <c r="E40" s="132"/>
      <c r="F40" s="133"/>
      <c r="G40" s="86"/>
      <c r="H40" s="86"/>
      <c r="I40" s="86"/>
      <c r="J40" s="133"/>
      <c r="K40" s="37"/>
    </row>
    <row r="41" spans="1:11" ht="18.75" customHeight="1">
      <c r="A41" s="321"/>
      <c r="B41" s="134" t="s">
        <v>8</v>
      </c>
      <c r="C41" s="135" t="s">
        <v>166</v>
      </c>
      <c r="D41" s="83" t="s">
        <v>167</v>
      </c>
      <c r="E41" s="83">
        <v>7130310027</v>
      </c>
      <c r="F41" s="88">
        <v>414.71</v>
      </c>
      <c r="G41" s="86">
        <f t="shared" ref="G41:G47" si="0">F41*1</f>
        <v>414.71</v>
      </c>
      <c r="H41" s="86">
        <f t="shared" ref="H41:H47" si="1">G41*18%</f>
        <v>74.647799999999989</v>
      </c>
      <c r="I41" s="86">
        <f t="shared" ref="I41:I47" si="2">G41+H41</f>
        <v>489.3578</v>
      </c>
      <c r="J41" s="87">
        <v>0.18</v>
      </c>
      <c r="K41" s="37"/>
    </row>
    <row r="42" spans="1:11" ht="18.75" customHeight="1">
      <c r="A42" s="321"/>
      <c r="B42" s="134" t="s">
        <v>11</v>
      </c>
      <c r="C42" s="135" t="s">
        <v>168</v>
      </c>
      <c r="D42" s="83" t="s">
        <v>167</v>
      </c>
      <c r="E42" s="83">
        <v>7130310029</v>
      </c>
      <c r="F42" s="88">
        <v>499.9</v>
      </c>
      <c r="G42" s="86">
        <f t="shared" si="0"/>
        <v>499.9</v>
      </c>
      <c r="H42" s="86">
        <f t="shared" si="1"/>
        <v>89.981999999999999</v>
      </c>
      <c r="I42" s="86">
        <f t="shared" si="2"/>
        <v>589.88199999999995</v>
      </c>
      <c r="J42" s="87">
        <v>0.18</v>
      </c>
      <c r="K42" s="37"/>
    </row>
    <row r="43" spans="1:11" ht="18.75" customHeight="1">
      <c r="A43" s="321"/>
      <c r="B43" s="134" t="s">
        <v>32</v>
      </c>
      <c r="C43" s="135" t="s">
        <v>169</v>
      </c>
      <c r="D43" s="83" t="s">
        <v>167</v>
      </c>
      <c r="E43" s="83">
        <v>7130310043</v>
      </c>
      <c r="F43" s="88">
        <v>638.36</v>
      </c>
      <c r="G43" s="86">
        <f t="shared" si="0"/>
        <v>638.36</v>
      </c>
      <c r="H43" s="86">
        <f t="shared" si="1"/>
        <v>114.90479999999999</v>
      </c>
      <c r="I43" s="86">
        <f t="shared" si="2"/>
        <v>753.26480000000004</v>
      </c>
      <c r="J43" s="87">
        <v>0.18</v>
      </c>
      <c r="K43" s="37"/>
    </row>
    <row r="44" spans="1:11" ht="18.75" customHeight="1">
      <c r="A44" s="321"/>
      <c r="B44" s="134" t="s">
        <v>15</v>
      </c>
      <c r="C44" s="135" t="s">
        <v>170</v>
      </c>
      <c r="D44" s="83" t="s">
        <v>167</v>
      </c>
      <c r="E44" s="83">
        <v>7130310045</v>
      </c>
      <c r="F44" s="88">
        <v>588.76</v>
      </c>
      <c r="G44" s="86">
        <f t="shared" si="0"/>
        <v>588.76</v>
      </c>
      <c r="H44" s="86">
        <f t="shared" si="1"/>
        <v>105.9768</v>
      </c>
      <c r="I44" s="86">
        <f t="shared" si="2"/>
        <v>694.73680000000002</v>
      </c>
      <c r="J44" s="87">
        <v>0.18</v>
      </c>
      <c r="K44" s="37"/>
    </row>
    <row r="45" spans="1:11" ht="24" customHeight="1">
      <c r="A45" s="321"/>
      <c r="B45" s="134" t="s">
        <v>88</v>
      </c>
      <c r="C45" s="135" t="s">
        <v>171</v>
      </c>
      <c r="D45" s="83" t="s">
        <v>167</v>
      </c>
      <c r="E45" s="83">
        <v>7130310046</v>
      </c>
      <c r="F45" s="88">
        <v>669.59</v>
      </c>
      <c r="G45" s="86">
        <f t="shared" si="0"/>
        <v>669.59</v>
      </c>
      <c r="H45" s="86">
        <f t="shared" si="1"/>
        <v>120.5262</v>
      </c>
      <c r="I45" s="86">
        <f t="shared" si="2"/>
        <v>790.11620000000005</v>
      </c>
      <c r="J45" s="87">
        <v>0.18</v>
      </c>
      <c r="K45" s="37"/>
    </row>
    <row r="46" spans="1:11" ht="24" customHeight="1">
      <c r="A46" s="321"/>
      <c r="B46" s="134" t="s">
        <v>108</v>
      </c>
      <c r="C46" s="135" t="s">
        <v>172</v>
      </c>
      <c r="D46" s="83" t="s">
        <v>167</v>
      </c>
      <c r="E46" s="83">
        <v>7130310047</v>
      </c>
      <c r="F46" s="88">
        <v>941.7</v>
      </c>
      <c r="G46" s="86">
        <f t="shared" si="0"/>
        <v>941.7</v>
      </c>
      <c r="H46" s="86">
        <f t="shared" si="1"/>
        <v>169.506</v>
      </c>
      <c r="I46" s="86">
        <f t="shared" si="2"/>
        <v>1111.2060000000001</v>
      </c>
      <c r="J46" s="87">
        <v>0.18</v>
      </c>
      <c r="K46" s="37"/>
    </row>
    <row r="47" spans="1:11" ht="24" customHeight="1">
      <c r="A47" s="326"/>
      <c r="B47" s="134" t="s">
        <v>56</v>
      </c>
      <c r="C47" s="135" t="s">
        <v>173</v>
      </c>
      <c r="D47" s="83" t="s">
        <v>167</v>
      </c>
      <c r="E47" s="83">
        <v>7130310048</v>
      </c>
      <c r="F47" s="88">
        <v>1326.87</v>
      </c>
      <c r="G47" s="86">
        <f t="shared" si="0"/>
        <v>1326.87</v>
      </c>
      <c r="H47" s="86">
        <f t="shared" si="1"/>
        <v>238.83659999999998</v>
      </c>
      <c r="I47" s="86">
        <f t="shared" si="2"/>
        <v>1565.7066</v>
      </c>
      <c r="J47" s="87">
        <v>0.18</v>
      </c>
      <c r="K47" s="37"/>
    </row>
    <row r="48" spans="1:11" ht="18.75" customHeight="1">
      <c r="A48" s="89"/>
      <c r="B48" s="136"/>
      <c r="C48" s="137" t="s">
        <v>17</v>
      </c>
      <c r="D48" s="95"/>
      <c r="E48" s="95"/>
      <c r="F48" s="122"/>
      <c r="G48" s="138"/>
      <c r="H48" s="138"/>
      <c r="I48" s="138"/>
      <c r="J48" s="181"/>
      <c r="K48" s="37"/>
    </row>
    <row r="49" spans="1:15" ht="18.75" customHeight="1">
      <c r="A49" s="320">
        <v>18</v>
      </c>
      <c r="B49" s="139" t="s">
        <v>27</v>
      </c>
      <c r="C49" s="137" t="s">
        <v>90</v>
      </c>
      <c r="D49" s="95"/>
      <c r="E49" s="95"/>
      <c r="F49" s="122"/>
      <c r="G49" s="138"/>
      <c r="H49" s="138"/>
      <c r="I49" s="138"/>
      <c r="J49" s="181"/>
      <c r="K49" s="37"/>
    </row>
    <row r="50" spans="1:15" ht="21" customHeight="1">
      <c r="A50" s="321"/>
      <c r="B50" s="83" t="s">
        <v>11</v>
      </c>
      <c r="C50" s="84" t="s">
        <v>174</v>
      </c>
      <c r="D50" s="83" t="s">
        <v>5</v>
      </c>
      <c r="E50" s="97">
        <v>7130820071</v>
      </c>
      <c r="F50" s="88">
        <v>35.54</v>
      </c>
      <c r="G50" s="86">
        <v>36.47</v>
      </c>
      <c r="H50" s="86">
        <f>G50*18%</f>
        <v>6.5645999999999995</v>
      </c>
      <c r="I50" s="86">
        <f>G50+H50</f>
        <v>43.034599999999998</v>
      </c>
      <c r="J50" s="87">
        <v>0.18</v>
      </c>
      <c r="K50" s="183"/>
    </row>
    <row r="51" spans="1:15" ht="20.25" customHeight="1">
      <c r="A51" s="321"/>
      <c r="B51" s="83" t="s">
        <v>15</v>
      </c>
      <c r="C51" s="84" t="s">
        <v>175</v>
      </c>
      <c r="D51" s="83" t="s">
        <v>25</v>
      </c>
      <c r="E51" s="83">
        <v>7130820026</v>
      </c>
      <c r="F51" s="86">
        <v>370</v>
      </c>
      <c r="G51" s="86">
        <f>F51*1.0262</f>
        <v>379.69400000000002</v>
      </c>
      <c r="H51" s="86">
        <f>G51*18%</f>
        <v>68.344920000000002</v>
      </c>
      <c r="I51" s="86">
        <f>G51+H51</f>
        <v>448.03892000000002</v>
      </c>
      <c r="J51" s="87">
        <v>0.18</v>
      </c>
      <c r="K51" s="184"/>
      <c r="L51" s="35"/>
      <c r="M51" s="35"/>
    </row>
    <row r="52" spans="1:15" ht="19.5" customHeight="1">
      <c r="A52" s="321"/>
      <c r="B52" s="83" t="s">
        <v>88</v>
      </c>
      <c r="C52" s="84" t="s">
        <v>89</v>
      </c>
      <c r="D52" s="83" t="s">
        <v>25</v>
      </c>
      <c r="E52" s="83">
        <v>7130820027</v>
      </c>
      <c r="F52" s="88">
        <v>1712.55</v>
      </c>
      <c r="G52" s="86">
        <f>F52*0.9067</f>
        <v>1552.7690849999999</v>
      </c>
      <c r="H52" s="86">
        <f>G52*18%</f>
        <v>279.49843529999998</v>
      </c>
      <c r="I52" s="86">
        <f>G52+H52</f>
        <v>1832.2675202999999</v>
      </c>
      <c r="J52" s="87">
        <v>0.18</v>
      </c>
      <c r="K52" s="185"/>
      <c r="L52" s="35"/>
      <c r="M52" s="35"/>
    </row>
    <row r="53" spans="1:15" ht="16.5" customHeight="1">
      <c r="A53" s="321"/>
      <c r="B53" s="136" t="s">
        <v>108</v>
      </c>
      <c r="C53" s="137" t="s">
        <v>176</v>
      </c>
      <c r="D53" s="95"/>
      <c r="E53" s="95"/>
      <c r="F53" s="140"/>
      <c r="G53" s="86"/>
      <c r="H53" s="86"/>
      <c r="I53" s="86"/>
      <c r="J53" s="181"/>
      <c r="K53" s="37"/>
    </row>
    <row r="54" spans="1:15" ht="18.75" customHeight="1">
      <c r="A54" s="321"/>
      <c r="B54" s="83" t="s">
        <v>128</v>
      </c>
      <c r="C54" s="84" t="s">
        <v>178</v>
      </c>
      <c r="D54" s="83" t="s">
        <v>5</v>
      </c>
      <c r="E54" s="97">
        <v>7130820101</v>
      </c>
      <c r="F54" s="88">
        <v>8.82</v>
      </c>
      <c r="G54" s="86">
        <f>F54*1.0871</f>
        <v>9.588222</v>
      </c>
      <c r="H54" s="86">
        <f>G54*18%</f>
        <v>1.7258799599999999</v>
      </c>
      <c r="I54" s="86">
        <f>G54+H54</f>
        <v>11.31410196</v>
      </c>
      <c r="J54" s="87">
        <v>0.18</v>
      </c>
      <c r="K54" s="183"/>
      <c r="L54" s="23"/>
      <c r="M54" s="23"/>
      <c r="N54" s="23"/>
      <c r="O54" s="23"/>
    </row>
    <row r="55" spans="1:15" ht="18" customHeight="1">
      <c r="A55" s="321"/>
      <c r="B55" s="83" t="s">
        <v>56</v>
      </c>
      <c r="C55" s="84" t="s">
        <v>179</v>
      </c>
      <c r="D55" s="83" t="s">
        <v>5</v>
      </c>
      <c r="E55" s="97">
        <v>7130820117</v>
      </c>
      <c r="F55" s="88">
        <v>8.82</v>
      </c>
      <c r="G55" s="86">
        <f>F55*1.036</f>
        <v>9.1375200000000003</v>
      </c>
      <c r="H55" s="86">
        <f>G55*18%</f>
        <v>1.6447536</v>
      </c>
      <c r="I55" s="86">
        <f>G55+H55</f>
        <v>10.7822736</v>
      </c>
      <c r="J55" s="87">
        <v>0.18</v>
      </c>
      <c r="K55" s="37"/>
    </row>
    <row r="56" spans="1:15" ht="18.75" customHeight="1">
      <c r="A56" s="321"/>
      <c r="B56" s="83" t="s">
        <v>180</v>
      </c>
      <c r="C56" s="84" t="s">
        <v>181</v>
      </c>
      <c r="D56" s="83" t="s">
        <v>58</v>
      </c>
      <c r="E56" s="97">
        <v>7130820018</v>
      </c>
      <c r="F56" s="88">
        <v>3.31</v>
      </c>
      <c r="G56" s="86">
        <f>F56*1.036</f>
        <v>3.42916</v>
      </c>
      <c r="H56" s="86">
        <f>G56*18%</f>
        <v>0.61724879999999993</v>
      </c>
      <c r="I56" s="86">
        <f>G56+H56</f>
        <v>4.0464088</v>
      </c>
      <c r="J56" s="87">
        <v>0.18</v>
      </c>
      <c r="K56" s="37"/>
    </row>
    <row r="57" spans="1:15" ht="18.75" customHeight="1">
      <c r="A57" s="321"/>
      <c r="B57" s="100" t="s">
        <v>18</v>
      </c>
      <c r="C57" s="91" t="s">
        <v>19</v>
      </c>
      <c r="D57" s="91"/>
      <c r="E57" s="91"/>
      <c r="F57" s="91"/>
      <c r="G57" s="91"/>
      <c r="H57" s="86"/>
      <c r="I57" s="126"/>
      <c r="J57" s="91"/>
      <c r="L57" s="8"/>
    </row>
    <row r="58" spans="1:15" ht="30" customHeight="1">
      <c r="A58" s="321"/>
      <c r="B58" s="83" t="s">
        <v>11</v>
      </c>
      <c r="C58" s="107" t="s">
        <v>21</v>
      </c>
      <c r="D58" s="88" t="s">
        <v>5</v>
      </c>
      <c r="E58" s="85">
        <v>7130820013</v>
      </c>
      <c r="F58" s="88">
        <v>269.33</v>
      </c>
      <c r="G58" s="86">
        <v>200.45</v>
      </c>
      <c r="H58" s="86">
        <f>G58*18%</f>
        <v>36.080999999999996</v>
      </c>
      <c r="I58" s="126">
        <f>G58+H58</f>
        <v>236.53099999999998</v>
      </c>
      <c r="J58" s="33">
        <v>0.18</v>
      </c>
      <c r="K58" s="333" t="s">
        <v>766</v>
      </c>
      <c r="L58" s="333"/>
    </row>
    <row r="59" spans="1:15" ht="17.25" customHeight="1">
      <c r="A59" s="321"/>
      <c r="B59" s="100" t="s">
        <v>23</v>
      </c>
      <c r="C59" s="137" t="s">
        <v>702</v>
      </c>
      <c r="D59" s="106"/>
      <c r="E59" s="89"/>
      <c r="F59" s="122"/>
      <c r="G59" s="86"/>
      <c r="H59" s="86"/>
      <c r="I59" s="86"/>
      <c r="J59" s="122"/>
      <c r="K59" s="37"/>
    </row>
    <row r="60" spans="1:15" ht="18" customHeight="1">
      <c r="A60" s="321"/>
      <c r="B60" s="83" t="s">
        <v>8</v>
      </c>
      <c r="C60" s="84" t="s">
        <v>184</v>
      </c>
      <c r="D60" s="83" t="s">
        <v>25</v>
      </c>
      <c r="E60" s="85">
        <v>7130820001</v>
      </c>
      <c r="F60" s="88">
        <v>223.97</v>
      </c>
      <c r="G60" s="86">
        <f>F60*0.8772</f>
        <v>196.46648400000001</v>
      </c>
      <c r="H60" s="86">
        <f>G60*18%</f>
        <v>35.363967119999998</v>
      </c>
      <c r="I60" s="86">
        <f>G60+H60</f>
        <v>231.83045112000002</v>
      </c>
      <c r="J60" s="87">
        <v>0.18</v>
      </c>
      <c r="K60" s="183"/>
    </row>
    <row r="61" spans="1:15" ht="18.75" customHeight="1">
      <c r="A61" s="321"/>
      <c r="B61" s="83" t="s">
        <v>11</v>
      </c>
      <c r="C61" s="84" t="s">
        <v>85</v>
      </c>
      <c r="D61" s="83" t="s">
        <v>25</v>
      </c>
      <c r="E61" s="85">
        <v>7130820002</v>
      </c>
      <c r="F61" s="88">
        <v>915.03</v>
      </c>
      <c r="G61" s="86">
        <f>F61*0.7443</f>
        <v>681.05682899999999</v>
      </c>
      <c r="H61" s="86">
        <f>G61*18%</f>
        <v>122.59022922</v>
      </c>
      <c r="I61" s="86">
        <f>G61+H61</f>
        <v>803.64705821999996</v>
      </c>
      <c r="J61" s="87">
        <v>0.18</v>
      </c>
      <c r="K61" s="183"/>
    </row>
    <row r="62" spans="1:15" ht="27.75" customHeight="1">
      <c r="A62" s="326"/>
      <c r="B62" s="100" t="s">
        <v>185</v>
      </c>
      <c r="C62" s="84" t="s">
        <v>24</v>
      </c>
      <c r="D62" s="83" t="s">
        <v>25</v>
      </c>
      <c r="E62" s="85">
        <v>7130820010</v>
      </c>
      <c r="F62" s="86">
        <v>124.1</v>
      </c>
      <c r="G62" s="88">
        <v>108.86</v>
      </c>
      <c r="H62" s="86">
        <v>19.59</v>
      </c>
      <c r="I62" s="86">
        <f>G62+H62</f>
        <v>128.44999999999999</v>
      </c>
      <c r="J62" s="87">
        <v>0.18</v>
      </c>
      <c r="K62" s="37"/>
    </row>
    <row r="63" spans="1:15" ht="16.5" customHeight="1">
      <c r="A63" s="317">
        <v>19</v>
      </c>
      <c r="B63" s="95"/>
      <c r="C63" s="91" t="s">
        <v>186</v>
      </c>
      <c r="D63" s="96"/>
      <c r="E63" s="124"/>
      <c r="F63" s="96"/>
      <c r="G63" s="96"/>
      <c r="H63" s="86"/>
      <c r="I63" s="86"/>
      <c r="J63" s="96"/>
      <c r="K63" s="37"/>
    </row>
    <row r="64" spans="1:15" ht="18" customHeight="1">
      <c r="A64" s="318"/>
      <c r="B64" s="83" t="s">
        <v>8</v>
      </c>
      <c r="C64" s="84" t="s">
        <v>187</v>
      </c>
      <c r="D64" s="83" t="s">
        <v>5</v>
      </c>
      <c r="E64" s="97">
        <v>7130820241</v>
      </c>
      <c r="F64" s="88">
        <v>102.81</v>
      </c>
      <c r="G64" s="86">
        <f>F64*0.986</f>
        <v>101.37066</v>
      </c>
      <c r="H64" s="86">
        <f>G64*18%</f>
        <v>18.2467188</v>
      </c>
      <c r="I64" s="86">
        <f>G64+H64</f>
        <v>119.6173788</v>
      </c>
      <c r="J64" s="87">
        <v>0.18</v>
      </c>
      <c r="K64" s="183"/>
      <c r="L64" s="2"/>
    </row>
    <row r="65" spans="1:13" ht="18" customHeight="1">
      <c r="A65" s="318"/>
      <c r="B65" s="83" t="s">
        <v>11</v>
      </c>
      <c r="C65" s="84" t="s">
        <v>188</v>
      </c>
      <c r="D65" s="83" t="s">
        <v>5</v>
      </c>
      <c r="E65" s="97">
        <v>7130820248</v>
      </c>
      <c r="F65" s="88">
        <v>213.59</v>
      </c>
      <c r="G65" s="86">
        <f>F65*0.986</f>
        <v>210.59974</v>
      </c>
      <c r="H65" s="86">
        <f>G65*18%</f>
        <v>37.907953200000001</v>
      </c>
      <c r="I65" s="86">
        <f>G65+H65</f>
        <v>248.50769320000001</v>
      </c>
      <c r="J65" s="87">
        <v>0.18</v>
      </c>
      <c r="K65" s="186"/>
      <c r="L65" s="2"/>
    </row>
    <row r="66" spans="1:13" ht="27.75" customHeight="1">
      <c r="A66" s="318"/>
      <c r="B66" s="83" t="s">
        <v>32</v>
      </c>
      <c r="C66" s="84" t="s">
        <v>189</v>
      </c>
      <c r="D66" s="83" t="s">
        <v>57</v>
      </c>
      <c r="E66" s="141">
        <v>7130820312</v>
      </c>
      <c r="F66" s="88">
        <v>1830.16</v>
      </c>
      <c r="G66" s="86">
        <f>F66*0.986</f>
        <v>1804.5377600000002</v>
      </c>
      <c r="H66" s="86">
        <f>G66*18%</f>
        <v>324.81679680000002</v>
      </c>
      <c r="I66" s="86">
        <f>G66+H66</f>
        <v>2129.3545568</v>
      </c>
      <c r="J66" s="87">
        <v>0.18</v>
      </c>
      <c r="K66" s="186"/>
      <c r="L66" s="2"/>
    </row>
    <row r="67" spans="1:13" ht="28.5" customHeight="1">
      <c r="A67" s="319"/>
      <c r="B67" s="83" t="s">
        <v>15</v>
      </c>
      <c r="C67" s="84" t="s">
        <v>190</v>
      </c>
      <c r="D67" s="83" t="s">
        <v>57</v>
      </c>
      <c r="E67" s="141">
        <v>7130870318</v>
      </c>
      <c r="F67" s="88">
        <v>841.07</v>
      </c>
      <c r="G67" s="86">
        <f>F67*0.986</f>
        <v>829.29502000000002</v>
      </c>
      <c r="H67" s="86">
        <f>G67*18%</f>
        <v>149.27310359999998</v>
      </c>
      <c r="I67" s="86">
        <f>G67+H67</f>
        <v>978.56812360000004</v>
      </c>
      <c r="J67" s="87">
        <v>0.18</v>
      </c>
      <c r="K67" s="186"/>
      <c r="L67" s="2"/>
    </row>
    <row r="68" spans="1:13" ht="30.75" customHeight="1">
      <c r="A68" s="317">
        <v>20</v>
      </c>
      <c r="B68" s="95"/>
      <c r="C68" s="91" t="s">
        <v>191</v>
      </c>
      <c r="D68" s="79"/>
      <c r="E68" s="127"/>
      <c r="F68" s="79"/>
      <c r="G68" s="86"/>
      <c r="H68" s="86"/>
      <c r="I68" s="86"/>
      <c r="J68" s="79"/>
      <c r="K68" s="37"/>
    </row>
    <row r="69" spans="1:13" ht="16.5" customHeight="1">
      <c r="A69" s="318"/>
      <c r="B69" s="83" t="s">
        <v>8</v>
      </c>
      <c r="C69" s="84" t="s">
        <v>192</v>
      </c>
      <c r="D69" s="83" t="s">
        <v>5</v>
      </c>
      <c r="E69" s="97">
        <v>7130820216</v>
      </c>
      <c r="F69" s="86">
        <v>33.31</v>
      </c>
      <c r="G69" s="86">
        <f>F69*1.034</f>
        <v>34.442540000000001</v>
      </c>
      <c r="H69" s="86">
        <f>G69*18%</f>
        <v>6.1996571999999999</v>
      </c>
      <c r="I69" s="86">
        <f>G69+H69</f>
        <v>40.642197199999998</v>
      </c>
      <c r="J69" s="87">
        <v>0.18</v>
      </c>
      <c r="K69" s="187"/>
      <c r="L69" s="35"/>
      <c r="M69" s="35"/>
    </row>
    <row r="70" spans="1:13" ht="16.5" customHeight="1">
      <c r="A70" s="319"/>
      <c r="B70" s="83" t="s">
        <v>11</v>
      </c>
      <c r="C70" s="84" t="s">
        <v>193</v>
      </c>
      <c r="D70" s="83" t="s">
        <v>5</v>
      </c>
      <c r="E70" s="97">
        <v>7130820206</v>
      </c>
      <c r="F70" s="88">
        <v>29.26</v>
      </c>
      <c r="G70" s="86">
        <f>F70*1.034</f>
        <v>30.254840000000002</v>
      </c>
      <c r="H70" s="86">
        <f>G70*18%</f>
        <v>5.4458712</v>
      </c>
      <c r="I70" s="86">
        <f>G70+H70</f>
        <v>35.700711200000001</v>
      </c>
      <c r="J70" s="87">
        <v>0.18</v>
      </c>
      <c r="K70" s="187"/>
      <c r="L70" s="35"/>
      <c r="M70" s="35"/>
    </row>
    <row r="71" spans="1:13" ht="18" customHeight="1">
      <c r="A71" s="83">
        <v>21</v>
      </c>
      <c r="B71" s="83"/>
      <c r="C71" s="84" t="s">
        <v>194</v>
      </c>
      <c r="D71" s="83" t="s">
        <v>5</v>
      </c>
      <c r="E71" s="97">
        <v>7130820155</v>
      </c>
      <c r="F71" s="88">
        <v>58.45</v>
      </c>
      <c r="G71" s="86">
        <f>F71*1.034</f>
        <v>60.437300000000008</v>
      </c>
      <c r="H71" s="86">
        <f>G71*18%</f>
        <v>10.878714</v>
      </c>
      <c r="I71" s="86">
        <f>G71+H71</f>
        <v>71.31601400000001</v>
      </c>
      <c r="J71" s="87">
        <v>0.18</v>
      </c>
      <c r="K71" s="187"/>
      <c r="L71" s="35"/>
      <c r="M71" s="35"/>
    </row>
    <row r="72" spans="1:13" ht="16.5" customHeight="1">
      <c r="A72" s="83">
        <v>22</v>
      </c>
      <c r="B72" s="95"/>
      <c r="C72" s="84" t="s">
        <v>195</v>
      </c>
      <c r="D72" s="83" t="s">
        <v>5</v>
      </c>
      <c r="E72" s="97">
        <v>7130820158</v>
      </c>
      <c r="F72" s="88">
        <v>194.5</v>
      </c>
      <c r="G72" s="86">
        <f>F72*1.034</f>
        <v>201.113</v>
      </c>
      <c r="H72" s="86">
        <f>G72*18%</f>
        <v>36.200339999999997</v>
      </c>
      <c r="I72" s="86">
        <f>G72+H72</f>
        <v>237.31333999999998</v>
      </c>
      <c r="J72" s="87">
        <v>0.18</v>
      </c>
      <c r="K72" s="187"/>
      <c r="L72" s="35"/>
      <c r="M72" s="35"/>
    </row>
    <row r="73" spans="1:13" ht="28.5" customHeight="1">
      <c r="A73" s="317">
        <v>23</v>
      </c>
      <c r="B73" s="100" t="s">
        <v>18</v>
      </c>
      <c r="C73" s="77" t="s">
        <v>705</v>
      </c>
      <c r="D73" s="101"/>
      <c r="E73" s="123"/>
      <c r="F73" s="122"/>
      <c r="G73" s="86"/>
      <c r="H73" s="86"/>
      <c r="I73" s="86"/>
      <c r="J73" s="122"/>
      <c r="K73" s="37"/>
    </row>
    <row r="74" spans="1:13" ht="17.25" customHeight="1">
      <c r="A74" s="318"/>
      <c r="B74" s="83" t="s">
        <v>8</v>
      </c>
      <c r="C74" s="84" t="s">
        <v>122</v>
      </c>
      <c r="D74" s="83" t="s">
        <v>5</v>
      </c>
      <c r="E74" s="97">
        <v>7131930107</v>
      </c>
      <c r="F74" s="88">
        <v>4825.32</v>
      </c>
      <c r="G74" s="92" t="s">
        <v>707</v>
      </c>
      <c r="H74" s="142"/>
      <c r="I74" s="92" t="s">
        <v>707</v>
      </c>
      <c r="J74" s="87"/>
      <c r="K74" s="37"/>
    </row>
    <row r="75" spans="1:13" ht="17.25" customHeight="1">
      <c r="A75" s="319"/>
      <c r="B75" s="83" t="s">
        <v>11</v>
      </c>
      <c r="C75" s="84" t="s">
        <v>123</v>
      </c>
      <c r="D75" s="83" t="s">
        <v>5</v>
      </c>
      <c r="E75" s="97">
        <v>7131930108</v>
      </c>
      <c r="F75" s="88">
        <v>10525.59</v>
      </c>
      <c r="G75" s="92" t="s">
        <v>707</v>
      </c>
      <c r="H75" s="142"/>
      <c r="I75" s="92" t="s">
        <v>707</v>
      </c>
      <c r="J75" s="87"/>
      <c r="K75" s="37"/>
    </row>
    <row r="76" spans="1:13" ht="18.75" customHeight="1">
      <c r="A76" s="317">
        <v>24</v>
      </c>
      <c r="B76" s="95"/>
      <c r="C76" s="91" t="s">
        <v>197</v>
      </c>
      <c r="D76" s="79"/>
      <c r="E76" s="127"/>
      <c r="F76" s="79"/>
      <c r="G76" s="86"/>
      <c r="H76" s="86"/>
      <c r="I76" s="86"/>
      <c r="J76" s="79"/>
      <c r="K76" s="37"/>
    </row>
    <row r="77" spans="1:13" ht="20.25" customHeight="1">
      <c r="A77" s="318"/>
      <c r="B77" s="83" t="s">
        <v>8</v>
      </c>
      <c r="C77" s="84" t="s">
        <v>198</v>
      </c>
      <c r="D77" s="83" t="s">
        <v>5</v>
      </c>
      <c r="E77" s="97">
        <v>7130860032</v>
      </c>
      <c r="F77" s="88">
        <v>338.7</v>
      </c>
      <c r="G77" s="86">
        <f>F77*1.104</f>
        <v>373.9248</v>
      </c>
      <c r="H77" s="86">
        <f>G77*18%</f>
        <v>67.306464000000005</v>
      </c>
      <c r="I77" s="86">
        <f>G77+H77</f>
        <v>441.23126400000001</v>
      </c>
      <c r="J77" s="87">
        <v>0.18</v>
      </c>
      <c r="K77" s="184"/>
      <c r="L77" s="35"/>
      <c r="M77" s="35"/>
    </row>
    <row r="78" spans="1:13" ht="18.75" customHeight="1">
      <c r="A78" s="319"/>
      <c r="B78" s="83" t="s">
        <v>11</v>
      </c>
      <c r="C78" s="84" t="s">
        <v>199</v>
      </c>
      <c r="D78" s="83" t="s">
        <v>5</v>
      </c>
      <c r="E78" s="97">
        <v>7130860033</v>
      </c>
      <c r="F78" s="88">
        <v>617.15</v>
      </c>
      <c r="G78" s="86">
        <f>F78*1.104</f>
        <v>681.33360000000005</v>
      </c>
      <c r="H78" s="86">
        <f>G78*18%</f>
        <v>122.64004800000001</v>
      </c>
      <c r="I78" s="86">
        <f>G78+H78</f>
        <v>803.97364800000003</v>
      </c>
      <c r="J78" s="87">
        <v>0.18</v>
      </c>
      <c r="K78" s="184"/>
      <c r="L78" s="35"/>
      <c r="M78" s="35"/>
    </row>
    <row r="79" spans="1:13" ht="18.75" customHeight="1">
      <c r="A79" s="317">
        <v>25</v>
      </c>
      <c r="B79" s="95"/>
      <c r="C79" s="91" t="s">
        <v>200</v>
      </c>
      <c r="D79" s="96"/>
      <c r="E79" s="124"/>
      <c r="F79" s="96"/>
      <c r="G79" s="86"/>
      <c r="H79" s="86"/>
      <c r="I79" s="86"/>
      <c r="J79" s="96"/>
      <c r="K79" s="37"/>
    </row>
    <row r="80" spans="1:13" ht="16.5" customHeight="1">
      <c r="A80" s="318"/>
      <c r="B80" s="83" t="s">
        <v>8</v>
      </c>
      <c r="C80" s="84" t="s">
        <v>201</v>
      </c>
      <c r="D80" s="83" t="s">
        <v>127</v>
      </c>
      <c r="E80" s="97">
        <v>7130860076</v>
      </c>
      <c r="F80" s="86">
        <v>51315.63</v>
      </c>
      <c r="G80" s="86">
        <f>F80*1.152</f>
        <v>59115.605759999991</v>
      </c>
      <c r="H80" s="86">
        <f>G80*18%</f>
        <v>10640.809036799998</v>
      </c>
      <c r="I80" s="86">
        <f>G80+H80</f>
        <v>69756.414796799989</v>
      </c>
      <c r="J80" s="87">
        <v>0.18</v>
      </c>
      <c r="K80" s="184"/>
    </row>
    <row r="81" spans="1:11" ht="18" customHeight="1">
      <c r="A81" s="319"/>
      <c r="B81" s="83" t="s">
        <v>11</v>
      </c>
      <c r="C81" s="84" t="s">
        <v>202</v>
      </c>
      <c r="D81" s="83" t="s">
        <v>127</v>
      </c>
      <c r="E81" s="97">
        <v>7130860077</v>
      </c>
      <c r="F81" s="86">
        <v>51818.239999999998</v>
      </c>
      <c r="G81" s="86">
        <f>F81*1.152</f>
        <v>59694.612479999996</v>
      </c>
      <c r="H81" s="86">
        <f>G81*18%</f>
        <v>10745.0302464</v>
      </c>
      <c r="I81" s="86">
        <f>G81+H81</f>
        <v>70439.642726399994</v>
      </c>
      <c r="J81" s="87">
        <v>0.18</v>
      </c>
      <c r="K81" s="184"/>
    </row>
    <row r="82" spans="1:11" ht="40.5" customHeight="1">
      <c r="A82" s="83">
        <v>26</v>
      </c>
      <c r="B82" s="83"/>
      <c r="C82" s="84" t="s">
        <v>203</v>
      </c>
      <c r="D82" s="83" t="s">
        <v>5</v>
      </c>
      <c r="E82" s="97">
        <v>7130870013</v>
      </c>
      <c r="F82" s="86">
        <v>84.49</v>
      </c>
      <c r="G82" s="86">
        <f>F82*1.152</f>
        <v>97.33247999999999</v>
      </c>
      <c r="H82" s="86">
        <f>G82*18%</f>
        <v>17.519846399999999</v>
      </c>
      <c r="I82" s="86">
        <f>G82+H82</f>
        <v>114.85232639999998</v>
      </c>
      <c r="J82" s="87">
        <v>0.18</v>
      </c>
      <c r="K82" s="184"/>
    </row>
    <row r="83" spans="1:11" ht="18.75" customHeight="1">
      <c r="A83" s="317">
        <v>27</v>
      </c>
      <c r="B83" s="95"/>
      <c r="C83" s="91" t="s">
        <v>204</v>
      </c>
      <c r="D83" s="96"/>
      <c r="E83" s="124"/>
      <c r="F83" s="96"/>
      <c r="G83" s="86"/>
      <c r="H83" s="86"/>
      <c r="I83" s="86"/>
      <c r="J83" s="96"/>
      <c r="K83" s="37"/>
    </row>
    <row r="84" spans="1:11" ht="18" customHeight="1">
      <c r="A84" s="318"/>
      <c r="B84" s="83" t="s">
        <v>8</v>
      </c>
      <c r="C84" s="84" t="s">
        <v>205</v>
      </c>
      <c r="D84" s="83" t="s">
        <v>127</v>
      </c>
      <c r="E84" s="97">
        <v>7130870045</v>
      </c>
      <c r="F84" s="86">
        <v>46345.31</v>
      </c>
      <c r="G84" s="86">
        <f>F84*1.152</f>
        <v>53389.797119999996</v>
      </c>
      <c r="H84" s="86">
        <f>G84*18%</f>
        <v>9610.1634815999987</v>
      </c>
      <c r="I84" s="86">
        <f>G84+H84</f>
        <v>62999.960601599996</v>
      </c>
      <c r="J84" s="87">
        <v>0.18</v>
      </c>
      <c r="K84" s="37"/>
    </row>
    <row r="85" spans="1:11" ht="18" customHeight="1">
      <c r="A85" s="318"/>
      <c r="B85" s="83" t="s">
        <v>11</v>
      </c>
      <c r="C85" s="84" t="s">
        <v>206</v>
      </c>
      <c r="D85" s="83" t="s">
        <v>127</v>
      </c>
      <c r="E85" s="97">
        <v>7130870043</v>
      </c>
      <c r="F85" s="86">
        <v>46345.31</v>
      </c>
      <c r="G85" s="86">
        <f>F85*1.152</f>
        <v>53389.797119999996</v>
      </c>
      <c r="H85" s="86">
        <f>G85*18%</f>
        <v>9610.1634815999987</v>
      </c>
      <c r="I85" s="86">
        <f>G85+H85</f>
        <v>62999.960601599996</v>
      </c>
      <c r="J85" s="87">
        <v>0.18</v>
      </c>
      <c r="K85" s="37"/>
    </row>
    <row r="86" spans="1:11" ht="18" customHeight="1">
      <c r="A86" s="319"/>
      <c r="B86" s="83" t="s">
        <v>32</v>
      </c>
      <c r="C86" s="84" t="s">
        <v>207</v>
      </c>
      <c r="D86" s="83" t="s">
        <v>127</v>
      </c>
      <c r="E86" s="97">
        <v>7130870041</v>
      </c>
      <c r="F86" s="86">
        <v>46378.41</v>
      </c>
      <c r="G86" s="86">
        <f>F86*1.152</f>
        <v>53427.928319999999</v>
      </c>
      <c r="H86" s="86">
        <f>G86*18%</f>
        <v>9617.0270975999993</v>
      </c>
      <c r="I86" s="86">
        <f>G86+H86</f>
        <v>63044.955417599995</v>
      </c>
      <c r="J86" s="87">
        <v>0.18</v>
      </c>
      <c r="K86" s="37"/>
    </row>
    <row r="87" spans="1:11" ht="18.75" customHeight="1">
      <c r="A87" s="83">
        <v>28</v>
      </c>
      <c r="B87" s="83"/>
      <c r="C87" s="84" t="s">
        <v>208</v>
      </c>
      <c r="D87" s="83" t="s">
        <v>127</v>
      </c>
      <c r="E87" s="97">
        <v>7130610206</v>
      </c>
      <c r="F87" s="88">
        <v>55963.86</v>
      </c>
      <c r="G87" s="86">
        <f>F87*1.152</f>
        <v>64470.366719999998</v>
      </c>
      <c r="H87" s="86">
        <f>G87*18%</f>
        <v>11604.6660096</v>
      </c>
      <c r="I87" s="86">
        <f>G87+H87</f>
        <v>76075.032729600003</v>
      </c>
      <c r="J87" s="87">
        <v>0.18</v>
      </c>
      <c r="K87" s="37"/>
    </row>
    <row r="88" spans="1:11" ht="18.75" customHeight="1">
      <c r="A88" s="317">
        <v>29</v>
      </c>
      <c r="B88" s="100" t="s">
        <v>27</v>
      </c>
      <c r="C88" s="91" t="s">
        <v>209</v>
      </c>
      <c r="D88" s="96"/>
      <c r="E88" s="124"/>
      <c r="F88" s="96"/>
      <c r="G88" s="86"/>
      <c r="H88" s="86"/>
      <c r="I88" s="86"/>
      <c r="J88" s="96"/>
      <c r="K88" s="37"/>
    </row>
    <row r="89" spans="1:11" ht="18.75" customHeight="1">
      <c r="A89" s="318"/>
      <c r="B89" s="83" t="s">
        <v>8</v>
      </c>
      <c r="C89" s="84" t="s">
        <v>210</v>
      </c>
      <c r="D89" s="83" t="s">
        <v>48</v>
      </c>
      <c r="E89" s="83">
        <v>7130620049</v>
      </c>
      <c r="F89" s="88">
        <v>56.37</v>
      </c>
      <c r="G89" s="86">
        <f>F89*1.043</f>
        <v>58.79390999999999</v>
      </c>
      <c r="H89" s="86">
        <f>G89*18%</f>
        <v>10.582903799999997</v>
      </c>
      <c r="I89" s="86">
        <f>G89+H89</f>
        <v>69.376813799999979</v>
      </c>
      <c r="J89" s="87">
        <v>0.18</v>
      </c>
      <c r="K89" s="37"/>
    </row>
    <row r="90" spans="1:11" ht="18.75" customHeight="1">
      <c r="A90" s="318"/>
      <c r="B90" s="83" t="s">
        <v>11</v>
      </c>
      <c r="C90" s="84" t="s">
        <v>211</v>
      </c>
      <c r="D90" s="83" t="s">
        <v>48</v>
      </c>
      <c r="E90" s="83">
        <v>7130620573</v>
      </c>
      <c r="F90" s="88">
        <v>56.37</v>
      </c>
      <c r="G90" s="86">
        <f t="shared" ref="G90:G100" si="3">F90*1.043</f>
        <v>58.79390999999999</v>
      </c>
      <c r="H90" s="86">
        <f t="shared" ref="H90:H101" si="4">G90*18%</f>
        <v>10.582903799999997</v>
      </c>
      <c r="I90" s="86">
        <f t="shared" ref="I90:I101" si="5">G90+H90</f>
        <v>69.376813799999979</v>
      </c>
      <c r="J90" s="87">
        <v>0.18</v>
      </c>
      <c r="K90" s="37"/>
    </row>
    <row r="91" spans="1:11" ht="18.75" customHeight="1">
      <c r="A91" s="318"/>
      <c r="B91" s="83" t="s">
        <v>32</v>
      </c>
      <c r="C91" s="84" t="s">
        <v>212</v>
      </c>
      <c r="D91" s="83" t="s">
        <v>48</v>
      </c>
      <c r="E91" s="97">
        <v>7130620575</v>
      </c>
      <c r="F91" s="88">
        <v>57.31</v>
      </c>
      <c r="G91" s="86">
        <f t="shared" si="3"/>
        <v>59.774329999999999</v>
      </c>
      <c r="H91" s="86">
        <f t="shared" si="4"/>
        <v>10.7593794</v>
      </c>
      <c r="I91" s="86">
        <f t="shared" si="5"/>
        <v>70.533709399999992</v>
      </c>
      <c r="J91" s="87">
        <v>0.18</v>
      </c>
      <c r="K91" s="37"/>
    </row>
    <row r="92" spans="1:11" ht="18.75" customHeight="1">
      <c r="A92" s="318"/>
      <c r="B92" s="83" t="s">
        <v>15</v>
      </c>
      <c r="C92" s="84" t="s">
        <v>213</v>
      </c>
      <c r="D92" s="83" t="s">
        <v>48</v>
      </c>
      <c r="E92" s="97">
        <v>7130620577</v>
      </c>
      <c r="F92" s="88">
        <v>57.31</v>
      </c>
      <c r="G92" s="86">
        <f t="shared" si="3"/>
        <v>59.774329999999999</v>
      </c>
      <c r="H92" s="86">
        <f t="shared" si="4"/>
        <v>10.7593794</v>
      </c>
      <c r="I92" s="86">
        <f t="shared" si="5"/>
        <v>70.533709399999992</v>
      </c>
      <c r="J92" s="87">
        <v>0.18</v>
      </c>
      <c r="K92" s="37"/>
    </row>
    <row r="93" spans="1:11" ht="18.75" customHeight="1">
      <c r="A93" s="318"/>
      <c r="B93" s="83" t="s">
        <v>88</v>
      </c>
      <c r="C93" s="84" t="s">
        <v>214</v>
      </c>
      <c r="D93" s="83" t="s">
        <v>48</v>
      </c>
      <c r="E93" s="97">
        <v>7130620609</v>
      </c>
      <c r="F93" s="88">
        <v>56.37</v>
      </c>
      <c r="G93" s="86">
        <f t="shared" si="3"/>
        <v>58.79390999999999</v>
      </c>
      <c r="H93" s="86">
        <f t="shared" si="4"/>
        <v>10.582903799999997</v>
      </c>
      <c r="I93" s="86">
        <f t="shared" si="5"/>
        <v>69.376813799999979</v>
      </c>
      <c r="J93" s="87">
        <v>0.18</v>
      </c>
      <c r="K93" s="37"/>
    </row>
    <row r="94" spans="1:11" ht="18.75" customHeight="1">
      <c r="A94" s="318"/>
      <c r="B94" s="83" t="s">
        <v>108</v>
      </c>
      <c r="C94" s="84" t="s">
        <v>215</v>
      </c>
      <c r="D94" s="83" t="s">
        <v>48</v>
      </c>
      <c r="E94" s="97">
        <v>7130620614</v>
      </c>
      <c r="F94" s="88">
        <v>55.43</v>
      </c>
      <c r="G94" s="86">
        <f t="shared" si="3"/>
        <v>57.813489999999994</v>
      </c>
      <c r="H94" s="86">
        <f t="shared" si="4"/>
        <v>10.406428199999999</v>
      </c>
      <c r="I94" s="86">
        <f t="shared" si="5"/>
        <v>68.219918199999995</v>
      </c>
      <c r="J94" s="87">
        <v>0.18</v>
      </c>
      <c r="K94" s="37"/>
    </row>
    <row r="95" spans="1:11" ht="18.75" customHeight="1">
      <c r="A95" s="318"/>
      <c r="B95" s="83" t="s">
        <v>56</v>
      </c>
      <c r="C95" s="84" t="s">
        <v>216</v>
      </c>
      <c r="D95" s="83" t="s">
        <v>48</v>
      </c>
      <c r="E95" s="97">
        <v>7130620619</v>
      </c>
      <c r="F95" s="88">
        <v>55.43</v>
      </c>
      <c r="G95" s="86">
        <f t="shared" si="3"/>
        <v>57.813489999999994</v>
      </c>
      <c r="H95" s="86">
        <f t="shared" si="4"/>
        <v>10.406428199999999</v>
      </c>
      <c r="I95" s="86">
        <f t="shared" si="5"/>
        <v>68.219918199999995</v>
      </c>
      <c r="J95" s="87">
        <v>0.18</v>
      </c>
      <c r="K95" s="37"/>
    </row>
    <row r="96" spans="1:11" ht="18.75" customHeight="1">
      <c r="A96" s="318"/>
      <c r="B96" s="83" t="s">
        <v>180</v>
      </c>
      <c r="C96" s="84" t="s">
        <v>217</v>
      </c>
      <c r="D96" s="83" t="s">
        <v>48</v>
      </c>
      <c r="E96" s="97">
        <v>7130620621</v>
      </c>
      <c r="F96" s="88">
        <v>54.49</v>
      </c>
      <c r="G96" s="86">
        <f t="shared" si="3"/>
        <v>56.833069999999999</v>
      </c>
      <c r="H96" s="86">
        <f t="shared" si="4"/>
        <v>10.229952599999999</v>
      </c>
      <c r="I96" s="86">
        <f t="shared" si="5"/>
        <v>67.063022599999996</v>
      </c>
      <c r="J96" s="87">
        <v>0.18</v>
      </c>
      <c r="K96" s="37"/>
    </row>
    <row r="97" spans="1:11" ht="18.75" customHeight="1">
      <c r="A97" s="318"/>
      <c r="B97" s="83" t="s">
        <v>218</v>
      </c>
      <c r="C97" s="84" t="s">
        <v>219</v>
      </c>
      <c r="D97" s="83" t="s">
        <v>48</v>
      </c>
      <c r="E97" s="97">
        <v>7130620625</v>
      </c>
      <c r="F97" s="88">
        <v>54.49</v>
      </c>
      <c r="G97" s="86">
        <f t="shared" si="3"/>
        <v>56.833069999999999</v>
      </c>
      <c r="H97" s="86">
        <f t="shared" si="4"/>
        <v>10.229952599999999</v>
      </c>
      <c r="I97" s="86">
        <f t="shared" si="5"/>
        <v>67.063022599999996</v>
      </c>
      <c r="J97" s="87">
        <v>0.18</v>
      </c>
      <c r="K97" s="37"/>
    </row>
    <row r="98" spans="1:11" ht="18.75" customHeight="1">
      <c r="A98" s="318"/>
      <c r="B98" s="83" t="s">
        <v>220</v>
      </c>
      <c r="C98" s="84" t="s">
        <v>221</v>
      </c>
      <c r="D98" s="83" t="s">
        <v>48</v>
      </c>
      <c r="E98" s="97">
        <v>7130620627</v>
      </c>
      <c r="F98" s="88">
        <v>54.49</v>
      </c>
      <c r="G98" s="86">
        <f t="shared" si="3"/>
        <v>56.833069999999999</v>
      </c>
      <c r="H98" s="86">
        <f t="shared" si="4"/>
        <v>10.229952599999999</v>
      </c>
      <c r="I98" s="86">
        <f t="shared" si="5"/>
        <v>67.063022599999996</v>
      </c>
      <c r="J98" s="87">
        <v>0.18</v>
      </c>
      <c r="K98" s="37"/>
    </row>
    <row r="99" spans="1:11" ht="18.75" customHeight="1">
      <c r="A99" s="318"/>
      <c r="B99" s="83" t="s">
        <v>222</v>
      </c>
      <c r="C99" s="84" t="s">
        <v>223</v>
      </c>
      <c r="D99" s="83" t="s">
        <v>48</v>
      </c>
      <c r="E99" s="97">
        <v>7130620631</v>
      </c>
      <c r="F99" s="88">
        <v>54.49</v>
      </c>
      <c r="G99" s="86">
        <f t="shared" si="3"/>
        <v>56.833069999999999</v>
      </c>
      <c r="H99" s="86">
        <f t="shared" si="4"/>
        <v>10.229952599999999</v>
      </c>
      <c r="I99" s="86">
        <f t="shared" si="5"/>
        <v>67.063022599999996</v>
      </c>
      <c r="J99" s="87">
        <v>0.18</v>
      </c>
      <c r="K99" s="37"/>
    </row>
    <row r="100" spans="1:11" ht="18.75" customHeight="1">
      <c r="A100" s="318"/>
      <c r="B100" s="83" t="s">
        <v>224</v>
      </c>
      <c r="C100" s="84" t="s">
        <v>225</v>
      </c>
      <c r="D100" s="83" t="s">
        <v>48</v>
      </c>
      <c r="E100" s="97">
        <v>7130620637</v>
      </c>
      <c r="F100" s="88">
        <v>54.49</v>
      </c>
      <c r="G100" s="86">
        <f t="shared" si="3"/>
        <v>56.833069999999999</v>
      </c>
      <c r="H100" s="86">
        <f t="shared" si="4"/>
        <v>10.229952599999999</v>
      </c>
      <c r="I100" s="86">
        <f t="shared" si="5"/>
        <v>67.063022599999996</v>
      </c>
      <c r="J100" s="87">
        <v>0.18</v>
      </c>
      <c r="K100" s="37"/>
    </row>
    <row r="101" spans="1:11" ht="18.75" customHeight="1">
      <c r="A101" s="318"/>
      <c r="B101" s="83" t="s">
        <v>226</v>
      </c>
      <c r="C101" s="84" t="s">
        <v>227</v>
      </c>
      <c r="D101" s="83" t="s">
        <v>48</v>
      </c>
      <c r="E101" s="97">
        <v>7130620636</v>
      </c>
      <c r="F101" s="88">
        <v>54.49</v>
      </c>
      <c r="G101" s="86">
        <f>F101*1.043</f>
        <v>56.833069999999999</v>
      </c>
      <c r="H101" s="86">
        <f t="shared" si="4"/>
        <v>10.229952599999999</v>
      </c>
      <c r="I101" s="86">
        <f t="shared" si="5"/>
        <v>67.063022599999996</v>
      </c>
      <c r="J101" s="87">
        <v>0.18</v>
      </c>
      <c r="K101" s="37"/>
    </row>
    <row r="102" spans="1:11" ht="18.75" customHeight="1">
      <c r="A102" s="318"/>
      <c r="B102" s="83" t="s">
        <v>228</v>
      </c>
      <c r="C102" s="84" t="s">
        <v>229</v>
      </c>
      <c r="D102" s="83" t="s">
        <v>48</v>
      </c>
      <c r="E102" s="97">
        <v>7130620713</v>
      </c>
      <c r="F102" s="88">
        <v>54.49</v>
      </c>
      <c r="G102" s="86">
        <f>F102*1.043</f>
        <v>56.833069999999999</v>
      </c>
      <c r="H102" s="86">
        <f>G102*18%</f>
        <v>10.229952599999999</v>
      </c>
      <c r="I102" s="86">
        <f>G102+H102</f>
        <v>67.063022599999996</v>
      </c>
      <c r="J102" s="87">
        <v>0.18</v>
      </c>
      <c r="K102" s="37"/>
    </row>
    <row r="103" spans="1:11" ht="18.75" customHeight="1">
      <c r="A103" s="318"/>
      <c r="B103" s="83" t="s">
        <v>230</v>
      </c>
      <c r="C103" s="84" t="s">
        <v>231</v>
      </c>
      <c r="D103" s="83" t="s">
        <v>48</v>
      </c>
      <c r="E103" s="97">
        <v>7130620716</v>
      </c>
      <c r="F103" s="88">
        <v>54.49</v>
      </c>
      <c r="G103" s="86">
        <f>F103*1.043</f>
        <v>56.833069999999999</v>
      </c>
      <c r="H103" s="86">
        <f>G103*18%</f>
        <v>10.229952599999999</v>
      </c>
      <c r="I103" s="86">
        <f>G103+H103</f>
        <v>67.063022599999996</v>
      </c>
      <c r="J103" s="87">
        <v>0.18</v>
      </c>
      <c r="K103" s="37"/>
    </row>
    <row r="104" spans="1:11" ht="18.75" customHeight="1">
      <c r="A104" s="318"/>
      <c r="B104" s="83" t="s">
        <v>232</v>
      </c>
      <c r="C104" s="84" t="s">
        <v>233</v>
      </c>
      <c r="D104" s="83" t="s">
        <v>48</v>
      </c>
      <c r="E104" s="97">
        <v>7130620719</v>
      </c>
      <c r="F104" s="88">
        <v>54.49</v>
      </c>
      <c r="G104" s="86">
        <f>F104*1.043</f>
        <v>56.833069999999999</v>
      </c>
      <c r="H104" s="86">
        <f>G104*18%</f>
        <v>10.229952599999999</v>
      </c>
      <c r="I104" s="86">
        <f>G104+H104</f>
        <v>67.063022599999996</v>
      </c>
      <c r="J104" s="87">
        <v>0.18</v>
      </c>
      <c r="K104" s="37"/>
    </row>
    <row r="105" spans="1:11" ht="18.75" customHeight="1">
      <c r="A105" s="318"/>
      <c r="B105" s="83" t="s">
        <v>234</v>
      </c>
      <c r="C105" s="84" t="s">
        <v>235</v>
      </c>
      <c r="D105" s="83" t="s">
        <v>48</v>
      </c>
      <c r="E105" s="97">
        <v>7130620829</v>
      </c>
      <c r="F105" s="88">
        <v>54.49</v>
      </c>
      <c r="G105" s="86">
        <f>F105*1.043</f>
        <v>56.833069999999999</v>
      </c>
      <c r="H105" s="86">
        <f>G105*18%</f>
        <v>10.229952599999999</v>
      </c>
      <c r="I105" s="86">
        <f>G105+H105</f>
        <v>67.063022599999996</v>
      </c>
      <c r="J105" s="87">
        <v>0.18</v>
      </c>
      <c r="K105" s="37"/>
    </row>
    <row r="106" spans="1:11" ht="16.5" customHeight="1">
      <c r="A106" s="318"/>
      <c r="B106" s="100" t="s">
        <v>18</v>
      </c>
      <c r="C106" s="91" t="s">
        <v>236</v>
      </c>
      <c r="D106" s="96"/>
      <c r="E106" s="124"/>
      <c r="F106" s="96"/>
      <c r="G106" s="86"/>
      <c r="H106" s="86"/>
      <c r="I106" s="86"/>
      <c r="J106" s="96"/>
      <c r="K106" s="37"/>
    </row>
    <row r="107" spans="1:11" ht="20.25" customHeight="1">
      <c r="A107" s="318"/>
      <c r="B107" s="83" t="s">
        <v>8</v>
      </c>
      <c r="C107" s="84" t="s">
        <v>214</v>
      </c>
      <c r="D107" s="83" t="s">
        <v>48</v>
      </c>
      <c r="E107" s="83">
        <v>7130620133</v>
      </c>
      <c r="F107" s="88">
        <v>77.98</v>
      </c>
      <c r="G107" s="86">
        <f>F107*1.043</f>
        <v>81.33314</v>
      </c>
      <c r="H107" s="86">
        <f>G107*18%</f>
        <v>14.639965199999999</v>
      </c>
      <c r="I107" s="86">
        <f>G107+H107</f>
        <v>95.973105199999992</v>
      </c>
      <c r="J107" s="87">
        <v>0.18</v>
      </c>
      <c r="K107" s="37"/>
    </row>
    <row r="108" spans="1:11" ht="23.25" customHeight="1">
      <c r="A108" s="319"/>
      <c r="B108" s="83" t="s">
        <v>11</v>
      </c>
      <c r="C108" s="84" t="s">
        <v>215</v>
      </c>
      <c r="D108" s="83" t="s">
        <v>48</v>
      </c>
      <c r="E108" s="83">
        <v>7130620140</v>
      </c>
      <c r="F108" s="88">
        <v>77.98</v>
      </c>
      <c r="G108" s="86">
        <f>F108*1.043</f>
        <v>81.33314</v>
      </c>
      <c r="H108" s="86">
        <f>G108*18%</f>
        <v>14.639965199999999</v>
      </c>
      <c r="I108" s="86">
        <f>G108+H108</f>
        <v>95.973105199999992</v>
      </c>
      <c r="J108" s="87">
        <v>0.18</v>
      </c>
      <c r="K108" s="37"/>
    </row>
    <row r="109" spans="1:11" ht="15.75" customHeight="1">
      <c r="A109" s="317">
        <v>39</v>
      </c>
      <c r="B109" s="100"/>
      <c r="C109" s="137" t="s">
        <v>26</v>
      </c>
      <c r="D109" s="83"/>
      <c r="E109" s="85"/>
      <c r="F109" s="86"/>
      <c r="G109" s="86"/>
      <c r="H109" s="86"/>
      <c r="I109" s="126"/>
      <c r="J109" s="87"/>
      <c r="K109" s="37"/>
    </row>
    <row r="110" spans="1:11" ht="16.5" customHeight="1">
      <c r="A110" s="318"/>
      <c r="B110" s="98" t="s">
        <v>27</v>
      </c>
      <c r="C110" s="91" t="s">
        <v>28</v>
      </c>
      <c r="D110" s="79"/>
      <c r="E110" s="79"/>
      <c r="F110" s="79"/>
      <c r="G110" s="79"/>
      <c r="H110" s="138"/>
      <c r="I110" s="143"/>
      <c r="J110" s="79"/>
      <c r="K110" s="37"/>
    </row>
    <row r="111" spans="1:11" ht="28.5" customHeight="1">
      <c r="A111" s="318"/>
      <c r="B111" s="83" t="s">
        <v>15</v>
      </c>
      <c r="C111" s="84" t="s">
        <v>30</v>
      </c>
      <c r="D111" s="83" t="s">
        <v>29</v>
      </c>
      <c r="E111" s="97">
        <v>7130310681</v>
      </c>
      <c r="F111" s="126">
        <v>121024.16</v>
      </c>
      <c r="G111" s="86">
        <f>126044.2+0</f>
        <v>126044.2</v>
      </c>
      <c r="H111" s="86">
        <f>G111*18%</f>
        <v>22687.955999999998</v>
      </c>
      <c r="I111" s="126">
        <f>G111+H111</f>
        <v>148732.15599999999</v>
      </c>
      <c r="J111" s="87">
        <v>0.18</v>
      </c>
      <c r="K111" s="68" t="s">
        <v>741</v>
      </c>
    </row>
    <row r="112" spans="1:11" ht="20.25" customHeight="1">
      <c r="A112" s="318"/>
      <c r="B112" s="83" t="s">
        <v>88</v>
      </c>
      <c r="C112" s="84" t="s">
        <v>258</v>
      </c>
      <c r="D112" s="83" t="s">
        <v>29</v>
      </c>
      <c r="E112" s="97">
        <v>7130310662</v>
      </c>
      <c r="F112" s="126">
        <v>131502.70000000001</v>
      </c>
      <c r="G112" s="86">
        <f>F112*1.0415</f>
        <v>136960.06205000004</v>
      </c>
      <c r="H112" s="86">
        <f>G112*18%</f>
        <v>24652.811169000004</v>
      </c>
      <c r="I112" s="126">
        <f>G112+H112</f>
        <v>161612.87321900003</v>
      </c>
      <c r="J112" s="87">
        <v>0.18</v>
      </c>
      <c r="K112" s="183"/>
    </row>
    <row r="113" spans="1:14" ht="18.75" customHeight="1">
      <c r="A113" s="318"/>
      <c r="B113" s="100" t="s">
        <v>18</v>
      </c>
      <c r="C113" s="137" t="s">
        <v>31</v>
      </c>
      <c r="D113" s="83"/>
      <c r="E113" s="97"/>
      <c r="F113" s="94"/>
      <c r="G113" s="86"/>
      <c r="H113" s="86"/>
      <c r="I113" s="86"/>
      <c r="J113" s="181"/>
      <c r="K113" s="37"/>
    </row>
    <row r="114" spans="1:14" ht="18" customHeight="1">
      <c r="A114" s="318"/>
      <c r="B114" s="83" t="s">
        <v>8</v>
      </c>
      <c r="C114" s="84" t="s">
        <v>255</v>
      </c>
      <c r="D114" s="83" t="s">
        <v>29</v>
      </c>
      <c r="E114" s="97">
        <v>7130310652</v>
      </c>
      <c r="F114" s="92" t="s">
        <v>707</v>
      </c>
      <c r="G114" s="92" t="s">
        <v>707</v>
      </c>
      <c r="H114" s="142"/>
      <c r="I114" s="92" t="s">
        <v>707</v>
      </c>
      <c r="J114" s="181"/>
      <c r="K114" s="37"/>
    </row>
    <row r="115" spans="1:14" ht="16.5" customHeight="1">
      <c r="A115" s="319"/>
      <c r="B115" s="83" t="s">
        <v>11</v>
      </c>
      <c r="C115" s="84" t="s">
        <v>256</v>
      </c>
      <c r="D115" s="83" t="s">
        <v>29</v>
      </c>
      <c r="E115" s="83">
        <v>7130310654</v>
      </c>
      <c r="F115" s="92" t="s">
        <v>707</v>
      </c>
      <c r="G115" s="92" t="s">
        <v>707</v>
      </c>
      <c r="H115" s="142"/>
      <c r="I115" s="92" t="s">
        <v>707</v>
      </c>
      <c r="J115" s="181"/>
      <c r="K115" s="37"/>
    </row>
    <row r="116" spans="1:14" ht="28.5" customHeight="1">
      <c r="A116" s="322">
        <v>40</v>
      </c>
      <c r="B116" s="95"/>
      <c r="C116" s="137" t="s">
        <v>55</v>
      </c>
      <c r="D116" s="95"/>
      <c r="E116" s="95"/>
      <c r="F116" s="122"/>
      <c r="G116" s="86"/>
      <c r="H116" s="86"/>
      <c r="I116" s="86"/>
      <c r="J116" s="181"/>
      <c r="K116" s="37"/>
    </row>
    <row r="117" spans="1:14" ht="30.75" customHeight="1">
      <c r="A117" s="322"/>
      <c r="B117" s="100" t="s">
        <v>267</v>
      </c>
      <c r="C117" s="91" t="s">
        <v>268</v>
      </c>
      <c r="D117" s="96"/>
      <c r="E117" s="96"/>
      <c r="F117" s="96"/>
      <c r="G117" s="138"/>
      <c r="H117" s="138"/>
      <c r="I117" s="143"/>
      <c r="J117" s="96"/>
      <c r="K117" s="37"/>
    </row>
    <row r="118" spans="1:14" ht="27" customHeight="1">
      <c r="A118" s="322"/>
      <c r="B118" s="83" t="s">
        <v>8</v>
      </c>
      <c r="C118" s="84" t="s">
        <v>269</v>
      </c>
      <c r="D118" s="83" t="s">
        <v>270</v>
      </c>
      <c r="E118" s="97">
        <v>7130310038</v>
      </c>
      <c r="F118" s="86">
        <v>5.31</v>
      </c>
      <c r="G118" s="86">
        <f>F118*1.1</f>
        <v>5.8410000000000002</v>
      </c>
      <c r="H118" s="86">
        <f>G118*18%</f>
        <v>1.05138</v>
      </c>
      <c r="I118" s="126">
        <f>G118+H118</f>
        <v>6.8923800000000002</v>
      </c>
      <c r="J118" s="87">
        <v>0.18</v>
      </c>
      <c r="K118" s="37"/>
    </row>
    <row r="119" spans="1:14" ht="27.75" customHeight="1">
      <c r="A119" s="322"/>
      <c r="B119" s="83" t="s">
        <v>11</v>
      </c>
      <c r="C119" s="84" t="s">
        <v>274</v>
      </c>
      <c r="D119" s="83" t="s">
        <v>270</v>
      </c>
      <c r="E119" s="97"/>
      <c r="F119" s="86"/>
      <c r="G119" s="86">
        <v>11.47</v>
      </c>
      <c r="H119" s="86">
        <f>G119*J119</f>
        <v>3.2116000000000007</v>
      </c>
      <c r="I119" s="126">
        <f>G119+H119</f>
        <v>14.681600000000001</v>
      </c>
      <c r="J119" s="87">
        <v>0.28000000000000003</v>
      </c>
      <c r="K119" s="37"/>
    </row>
    <row r="120" spans="1:14" ht="27.75" customHeight="1">
      <c r="A120" s="322"/>
      <c r="B120" s="83" t="s">
        <v>32</v>
      </c>
      <c r="C120" s="84" t="s">
        <v>271</v>
      </c>
      <c r="D120" s="83" t="s">
        <v>270</v>
      </c>
      <c r="E120" s="97">
        <v>7130310039</v>
      </c>
      <c r="F120" s="88">
        <v>23.01</v>
      </c>
      <c r="G120" s="86">
        <f>F120*1.071</f>
        <v>24.643710000000002</v>
      </c>
      <c r="H120" s="86">
        <f>G120*18%</f>
        <v>4.4358678000000005</v>
      </c>
      <c r="I120" s="86">
        <f>G120+H120</f>
        <v>29.079577800000003</v>
      </c>
      <c r="J120" s="87">
        <v>0.18</v>
      </c>
      <c r="K120" s="188"/>
      <c r="L120" s="34"/>
      <c r="M120" s="34"/>
      <c r="N120" s="34"/>
    </row>
    <row r="121" spans="1:14" ht="30" customHeight="1">
      <c r="A121" s="322"/>
      <c r="B121" s="100" t="s">
        <v>272</v>
      </c>
      <c r="C121" s="91" t="s">
        <v>273</v>
      </c>
      <c r="D121" s="96"/>
      <c r="E121" s="124"/>
      <c r="F121" s="96"/>
      <c r="G121" s="86"/>
      <c r="H121" s="86"/>
      <c r="I121" s="86"/>
      <c r="J121" s="96"/>
      <c r="K121" s="37"/>
    </row>
    <row r="122" spans="1:14" ht="27" customHeight="1">
      <c r="A122" s="322"/>
      <c r="B122" s="83" t="s">
        <v>8</v>
      </c>
      <c r="C122" s="84" t="s">
        <v>269</v>
      </c>
      <c r="D122" s="83" t="s">
        <v>270</v>
      </c>
      <c r="E122" s="97">
        <v>7130311023</v>
      </c>
      <c r="F122" s="88">
        <v>17.66</v>
      </c>
      <c r="G122" s="86">
        <f>F122*1.071</f>
        <v>18.91386</v>
      </c>
      <c r="H122" s="86">
        <f>G122*18%</f>
        <v>3.4044947999999997</v>
      </c>
      <c r="I122" s="86">
        <f>G122+H122</f>
        <v>22.318354799999998</v>
      </c>
      <c r="J122" s="87">
        <v>0.18</v>
      </c>
      <c r="K122" s="37"/>
    </row>
    <row r="123" spans="1:14" ht="27.75" customHeight="1">
      <c r="A123" s="322"/>
      <c r="B123" s="83" t="s">
        <v>11</v>
      </c>
      <c r="C123" s="84" t="s">
        <v>274</v>
      </c>
      <c r="D123" s="83" t="s">
        <v>270</v>
      </c>
      <c r="E123" s="97">
        <v>7130311024</v>
      </c>
      <c r="F123" s="88">
        <v>21.19</v>
      </c>
      <c r="G123" s="86">
        <f>F123*1.071</f>
        <v>22.694490000000002</v>
      </c>
      <c r="H123" s="86">
        <f>G123*18%</f>
        <v>4.0850081999999999</v>
      </c>
      <c r="I123" s="86">
        <f>G123+H123</f>
        <v>26.779498200000003</v>
      </c>
      <c r="J123" s="87">
        <v>0.18</v>
      </c>
      <c r="K123" s="37"/>
    </row>
    <row r="124" spans="1:14" ht="27.75" customHeight="1">
      <c r="A124" s="322"/>
      <c r="B124" s="83" t="s">
        <v>32</v>
      </c>
      <c r="C124" s="84" t="s">
        <v>271</v>
      </c>
      <c r="D124" s="83" t="s">
        <v>270</v>
      </c>
      <c r="E124" s="97">
        <v>7130311025</v>
      </c>
      <c r="F124" s="88">
        <v>30.9</v>
      </c>
      <c r="G124" s="86">
        <f>F124*1.071</f>
        <v>33.093899999999998</v>
      </c>
      <c r="H124" s="86">
        <f>G124*18%</f>
        <v>5.9569019999999995</v>
      </c>
      <c r="I124" s="86">
        <f>G124+H124</f>
        <v>39.050801999999997</v>
      </c>
      <c r="J124" s="87">
        <v>0.18</v>
      </c>
      <c r="K124" s="37"/>
    </row>
    <row r="125" spans="1:14" ht="27" customHeight="1">
      <c r="A125" s="322"/>
      <c r="B125" s="100" t="s">
        <v>275</v>
      </c>
      <c r="C125" s="91" t="s">
        <v>276</v>
      </c>
      <c r="D125" s="96"/>
      <c r="E125" s="124"/>
      <c r="F125" s="96"/>
      <c r="G125" s="86"/>
      <c r="H125" s="86"/>
      <c r="I125" s="86"/>
      <c r="J125" s="96"/>
      <c r="K125" s="37"/>
    </row>
    <row r="126" spans="1:14" ht="26.25" customHeight="1">
      <c r="A126" s="322"/>
      <c r="B126" s="83" t="s">
        <v>8</v>
      </c>
      <c r="C126" s="84" t="s">
        <v>277</v>
      </c>
      <c r="D126" s="83" t="s">
        <v>270</v>
      </c>
      <c r="E126" s="83">
        <v>7130310040</v>
      </c>
      <c r="F126" s="88">
        <v>47.68</v>
      </c>
      <c r="G126" s="86">
        <f>F126*1.071</f>
        <v>51.065279999999994</v>
      </c>
      <c r="H126" s="86">
        <f>G126*18%</f>
        <v>9.1917503999999983</v>
      </c>
      <c r="I126" s="86">
        <f>G126+H126</f>
        <v>60.257030399999991</v>
      </c>
      <c r="J126" s="87">
        <v>0.18</v>
      </c>
      <c r="K126" s="37"/>
    </row>
    <row r="127" spans="1:14" ht="29.25" customHeight="1">
      <c r="A127" s="322"/>
      <c r="B127" s="100" t="s">
        <v>278</v>
      </c>
      <c r="C127" s="91" t="s">
        <v>279</v>
      </c>
      <c r="D127" s="96"/>
      <c r="E127" s="124"/>
      <c r="F127" s="96"/>
      <c r="G127" s="86"/>
      <c r="H127" s="86"/>
      <c r="I127" s="86"/>
      <c r="J127" s="96"/>
      <c r="K127" s="37"/>
    </row>
    <row r="128" spans="1:14" ht="27.75" customHeight="1">
      <c r="A128" s="322"/>
      <c r="B128" s="83" t="s">
        <v>8</v>
      </c>
      <c r="C128" s="84" t="s">
        <v>280</v>
      </c>
      <c r="D128" s="83" t="s">
        <v>270</v>
      </c>
      <c r="E128" s="83">
        <v>7130311026</v>
      </c>
      <c r="F128" s="88">
        <v>37.08</v>
      </c>
      <c r="G128" s="86">
        <f>F128*1.071</f>
        <v>39.712679999999999</v>
      </c>
      <c r="H128" s="86">
        <f>G128*18%</f>
        <v>7.1482823999999994</v>
      </c>
      <c r="I128" s="86">
        <f>G128+H128</f>
        <v>46.860962399999998</v>
      </c>
      <c r="J128" s="87">
        <v>0.18</v>
      </c>
      <c r="K128" s="37"/>
    </row>
    <row r="129" spans="1:12" ht="27.75" customHeight="1">
      <c r="A129" s="322"/>
      <c r="B129" s="83" t="s">
        <v>11</v>
      </c>
      <c r="C129" s="84" t="s">
        <v>281</v>
      </c>
      <c r="D129" s="83" t="s">
        <v>270</v>
      </c>
      <c r="E129" s="97">
        <v>7130311027</v>
      </c>
      <c r="F129" s="83">
        <v>45.03</v>
      </c>
      <c r="G129" s="86">
        <f>F129*1.071</f>
        <v>48.227130000000002</v>
      </c>
      <c r="H129" s="86">
        <f>G129*18%</f>
        <v>8.6808834000000008</v>
      </c>
      <c r="I129" s="86">
        <f>G129+H129</f>
        <v>56.908013400000002</v>
      </c>
      <c r="J129" s="87">
        <v>0.18</v>
      </c>
      <c r="K129" s="37"/>
    </row>
    <row r="130" spans="1:12" ht="27" customHeight="1">
      <c r="A130" s="322"/>
      <c r="B130" s="83" t="s">
        <v>32</v>
      </c>
      <c r="C130" s="84" t="s">
        <v>277</v>
      </c>
      <c r="D130" s="83" t="s">
        <v>270</v>
      </c>
      <c r="E130" s="97">
        <v>7130311028</v>
      </c>
      <c r="F130" s="88">
        <v>53.86</v>
      </c>
      <c r="G130" s="86">
        <f>F130*1.071</f>
        <v>57.684059999999995</v>
      </c>
      <c r="H130" s="86">
        <f>G130*18%</f>
        <v>10.383130799999998</v>
      </c>
      <c r="I130" s="86">
        <f>G130+H130</f>
        <v>68.067190799999992</v>
      </c>
      <c r="J130" s="87">
        <v>0.18</v>
      </c>
      <c r="K130" s="37"/>
    </row>
    <row r="131" spans="1:12" ht="25.5" customHeight="1">
      <c r="A131" s="322"/>
      <c r="B131" s="83" t="s">
        <v>15</v>
      </c>
      <c r="C131" s="84" t="s">
        <v>260</v>
      </c>
      <c r="D131" s="83" t="s">
        <v>270</v>
      </c>
      <c r="E131" s="97">
        <v>7130311029</v>
      </c>
      <c r="F131" s="88">
        <v>70.64</v>
      </c>
      <c r="G131" s="86">
        <f>F131*1.071</f>
        <v>75.655439999999999</v>
      </c>
      <c r="H131" s="86">
        <f>G131*18%</f>
        <v>13.617979199999999</v>
      </c>
      <c r="I131" s="86">
        <f>G131+H131</f>
        <v>89.273419199999992</v>
      </c>
      <c r="J131" s="87">
        <v>0.18</v>
      </c>
      <c r="K131" s="37"/>
    </row>
    <row r="132" spans="1:12" ht="27.75" customHeight="1">
      <c r="A132" s="322"/>
      <c r="B132" s="83" t="s">
        <v>88</v>
      </c>
      <c r="C132" s="84" t="s">
        <v>282</v>
      </c>
      <c r="D132" s="83" t="s">
        <v>270</v>
      </c>
      <c r="E132" s="97">
        <v>7130311030</v>
      </c>
      <c r="F132" s="88">
        <v>90.06</v>
      </c>
      <c r="G132" s="86">
        <f>F132*1.071</f>
        <v>96.454260000000005</v>
      </c>
      <c r="H132" s="86">
        <f>G132*18%</f>
        <v>17.361766800000002</v>
      </c>
      <c r="I132" s="86">
        <f>G132+H132</f>
        <v>113.8160268</v>
      </c>
      <c r="J132" s="87">
        <v>0.18</v>
      </c>
      <c r="K132" s="37"/>
    </row>
    <row r="133" spans="1:12" ht="18" customHeight="1">
      <c r="A133" s="322"/>
      <c r="B133" s="144"/>
      <c r="C133" s="137" t="s">
        <v>294</v>
      </c>
      <c r="D133" s="83"/>
      <c r="E133" s="145"/>
      <c r="F133" s="88"/>
      <c r="G133" s="86"/>
      <c r="H133" s="86"/>
      <c r="I133" s="86"/>
      <c r="J133" s="87"/>
      <c r="K133" s="37"/>
    </row>
    <row r="134" spans="1:12" ht="18.75" customHeight="1">
      <c r="A134" s="322"/>
      <c r="B134" s="100" t="s">
        <v>295</v>
      </c>
      <c r="C134" s="91" t="s">
        <v>296</v>
      </c>
      <c r="D134" s="79"/>
      <c r="E134" s="127"/>
      <c r="F134" s="122"/>
      <c r="G134" s="138"/>
      <c r="H134" s="86"/>
      <c r="I134" s="86"/>
      <c r="J134" s="181"/>
      <c r="K134" s="37"/>
    </row>
    <row r="135" spans="1:12" ht="18.75" customHeight="1">
      <c r="A135" s="322"/>
      <c r="B135" s="83" t="s">
        <v>8</v>
      </c>
      <c r="C135" s="107" t="s">
        <v>297</v>
      </c>
      <c r="D135" s="85" t="s">
        <v>63</v>
      </c>
      <c r="E135" s="83">
        <v>7130310042</v>
      </c>
      <c r="F135" s="88">
        <v>35111.71</v>
      </c>
      <c r="G135" s="86">
        <f>F135*0.9495</f>
        <v>33338.568644999999</v>
      </c>
      <c r="H135" s="86">
        <f>G135*18%</f>
        <v>6000.9423560999994</v>
      </c>
      <c r="I135" s="86">
        <f>G135+H135</f>
        <v>39339.5110011</v>
      </c>
      <c r="J135" s="87">
        <v>0.18</v>
      </c>
      <c r="K135" s="189"/>
    </row>
    <row r="136" spans="1:12" ht="18" customHeight="1">
      <c r="A136" s="322"/>
      <c r="B136" s="100" t="s">
        <v>298</v>
      </c>
      <c r="C136" s="91" t="s">
        <v>299</v>
      </c>
      <c r="D136" s="79"/>
      <c r="E136" s="127"/>
      <c r="F136" s="79"/>
      <c r="G136" s="86"/>
      <c r="H136" s="86"/>
      <c r="I136" s="86"/>
      <c r="J136" s="79"/>
      <c r="K136" s="37"/>
    </row>
    <row r="137" spans="1:12" ht="16.5" customHeight="1">
      <c r="A137" s="322"/>
      <c r="B137" s="85" t="s">
        <v>8</v>
      </c>
      <c r="C137" s="146" t="s">
        <v>277</v>
      </c>
      <c r="D137" s="85" t="s">
        <v>63</v>
      </c>
      <c r="E137" s="83">
        <v>7130310044</v>
      </c>
      <c r="F137" s="88">
        <v>49885.760000000002</v>
      </c>
      <c r="G137" s="86">
        <f>F137*0.9495</f>
        <v>47366.529119999999</v>
      </c>
      <c r="H137" s="86">
        <f>G137*18%</f>
        <v>8525.9752415999992</v>
      </c>
      <c r="I137" s="86">
        <f>G137+H137</f>
        <v>55892.504361599997</v>
      </c>
      <c r="J137" s="87">
        <v>0.18</v>
      </c>
      <c r="K137" s="189"/>
    </row>
    <row r="138" spans="1:12" ht="19.5" customHeight="1">
      <c r="A138" s="322"/>
      <c r="B138" s="83" t="s">
        <v>11</v>
      </c>
      <c r="C138" s="84" t="s">
        <v>297</v>
      </c>
      <c r="D138" s="85" t="s">
        <v>63</v>
      </c>
      <c r="E138" s="97">
        <v>7130311084</v>
      </c>
      <c r="F138" s="83">
        <v>52493.17</v>
      </c>
      <c r="G138" s="86">
        <f>F138*0.9495</f>
        <v>49842.264915</v>
      </c>
      <c r="H138" s="86">
        <f>G138*18%</f>
        <v>8971.6076847000004</v>
      </c>
      <c r="I138" s="86">
        <f>G138+H138</f>
        <v>58813.8725997</v>
      </c>
      <c r="J138" s="87">
        <v>0.18</v>
      </c>
      <c r="K138" s="189"/>
    </row>
    <row r="139" spans="1:12" ht="19.5" customHeight="1">
      <c r="A139" s="322"/>
      <c r="B139" s="83" t="s">
        <v>32</v>
      </c>
      <c r="C139" s="146" t="s">
        <v>282</v>
      </c>
      <c r="D139" s="85" t="s">
        <v>63</v>
      </c>
      <c r="E139" s="85">
        <v>7130310048</v>
      </c>
      <c r="F139" s="88">
        <v>70941.87</v>
      </c>
      <c r="G139" s="86">
        <f>F139*1.0611</f>
        <v>75276.418256999983</v>
      </c>
      <c r="H139" s="86">
        <f>G139*18%</f>
        <v>13549.755286259997</v>
      </c>
      <c r="I139" s="86">
        <f>G139+H139</f>
        <v>88826.173543259982</v>
      </c>
      <c r="J139" s="87">
        <v>0.18</v>
      </c>
      <c r="K139" s="37"/>
    </row>
    <row r="140" spans="1:12" ht="18.75" customHeight="1">
      <c r="A140" s="322"/>
      <c r="B140" s="83" t="s">
        <v>15</v>
      </c>
      <c r="C140" s="146" t="s">
        <v>744</v>
      </c>
      <c r="D140" s="85" t="s">
        <v>63</v>
      </c>
      <c r="E140" s="147"/>
      <c r="F140" s="88"/>
      <c r="G140" s="86">
        <v>279000</v>
      </c>
      <c r="H140" s="86">
        <f>G140*J140</f>
        <v>50220</v>
      </c>
      <c r="I140" s="86">
        <f>G140+H140</f>
        <v>329220</v>
      </c>
      <c r="J140" s="87">
        <v>0.18</v>
      </c>
      <c r="K140" s="190"/>
      <c r="L140" s="190"/>
    </row>
    <row r="141" spans="1:12" ht="18.75" customHeight="1">
      <c r="A141" s="322"/>
      <c r="B141" s="83" t="s">
        <v>88</v>
      </c>
      <c r="C141" s="146" t="s">
        <v>745</v>
      </c>
      <c r="D141" s="85" t="s">
        <v>63</v>
      </c>
      <c r="E141" s="147"/>
      <c r="F141" s="88"/>
      <c r="G141" s="86">
        <v>340200</v>
      </c>
      <c r="H141" s="86">
        <f t="shared" ref="H141:H144" si="6">G141*J141</f>
        <v>61236</v>
      </c>
      <c r="I141" s="86">
        <f t="shared" ref="I141:I144" si="7">G141+H141</f>
        <v>401436</v>
      </c>
      <c r="J141" s="87">
        <v>0.18</v>
      </c>
      <c r="K141" s="190"/>
      <c r="L141" s="190"/>
    </row>
    <row r="142" spans="1:12" ht="18.75" customHeight="1">
      <c r="A142" s="322"/>
      <c r="B142" s="83" t="s">
        <v>108</v>
      </c>
      <c r="C142" s="146" t="s">
        <v>746</v>
      </c>
      <c r="D142" s="85" t="s">
        <v>63</v>
      </c>
      <c r="E142" s="147"/>
      <c r="F142" s="88"/>
      <c r="G142" s="86">
        <v>513600</v>
      </c>
      <c r="H142" s="86">
        <f t="shared" si="6"/>
        <v>92448</v>
      </c>
      <c r="I142" s="86">
        <f t="shared" si="7"/>
        <v>606048</v>
      </c>
      <c r="J142" s="87">
        <v>0.18</v>
      </c>
      <c r="K142" s="190"/>
      <c r="L142" s="190"/>
    </row>
    <row r="143" spans="1:12" ht="18.75" customHeight="1">
      <c r="A143" s="322"/>
      <c r="B143" s="83" t="s">
        <v>56</v>
      </c>
      <c r="C143" s="146" t="s">
        <v>747</v>
      </c>
      <c r="D143" s="85" t="s">
        <v>63</v>
      </c>
      <c r="E143" s="147"/>
      <c r="F143" s="88"/>
      <c r="G143" s="86">
        <v>981000</v>
      </c>
      <c r="H143" s="86">
        <f t="shared" si="6"/>
        <v>176580</v>
      </c>
      <c r="I143" s="86">
        <f t="shared" si="7"/>
        <v>1157580</v>
      </c>
      <c r="J143" s="87">
        <v>0.18</v>
      </c>
      <c r="K143" s="190"/>
      <c r="L143" s="190"/>
    </row>
    <row r="144" spans="1:12" ht="18.75" customHeight="1">
      <c r="A144" s="322"/>
      <c r="B144" s="83" t="s">
        <v>180</v>
      </c>
      <c r="C144" s="146" t="s">
        <v>748</v>
      </c>
      <c r="D144" s="85" t="s">
        <v>63</v>
      </c>
      <c r="E144" s="147"/>
      <c r="F144" s="88"/>
      <c r="G144" s="86">
        <v>1246800</v>
      </c>
      <c r="H144" s="86">
        <f t="shared" si="6"/>
        <v>224424</v>
      </c>
      <c r="I144" s="86">
        <f t="shared" si="7"/>
        <v>1471224</v>
      </c>
      <c r="J144" s="87">
        <v>0.18</v>
      </c>
      <c r="K144" s="190"/>
      <c r="L144" s="190"/>
    </row>
    <row r="145" spans="1:12" ht="20.25" customHeight="1">
      <c r="A145" s="322"/>
      <c r="B145" s="100" t="s">
        <v>300</v>
      </c>
      <c r="C145" s="91" t="s">
        <v>301</v>
      </c>
      <c r="D145" s="79"/>
      <c r="E145" s="127"/>
      <c r="F145" s="122"/>
      <c r="G145" s="86"/>
      <c r="H145" s="86"/>
      <c r="I145" s="86"/>
      <c r="J145" s="181"/>
      <c r="K145" s="37"/>
      <c r="L145" s="37"/>
    </row>
    <row r="146" spans="1:12" ht="18.75" customHeight="1">
      <c r="A146" s="322"/>
      <c r="B146" s="83" t="s">
        <v>8</v>
      </c>
      <c r="C146" s="107" t="s">
        <v>706</v>
      </c>
      <c r="D146" s="85" t="s">
        <v>63</v>
      </c>
      <c r="E146" s="97">
        <v>7130311054</v>
      </c>
      <c r="F146" s="88">
        <v>112739.26</v>
      </c>
      <c r="G146" s="92" t="s">
        <v>707</v>
      </c>
      <c r="H146" s="142"/>
      <c r="I146" s="92" t="s">
        <v>707</v>
      </c>
      <c r="J146" s="87"/>
      <c r="K146" s="37"/>
      <c r="L146" s="37"/>
    </row>
    <row r="147" spans="1:12" ht="18.75" customHeight="1">
      <c r="A147" s="322"/>
      <c r="B147" s="83" t="s">
        <v>11</v>
      </c>
      <c r="C147" s="146" t="s">
        <v>290</v>
      </c>
      <c r="D147" s="85" t="s">
        <v>63</v>
      </c>
      <c r="E147" s="97">
        <v>7130310049</v>
      </c>
      <c r="F147" s="88">
        <v>307170.03000000003</v>
      </c>
      <c r="G147" s="92" t="s">
        <v>707</v>
      </c>
      <c r="H147" s="142"/>
      <c r="I147" s="92" t="s">
        <v>707</v>
      </c>
      <c r="J147" s="87"/>
      <c r="K147" s="37"/>
      <c r="L147" s="37"/>
    </row>
    <row r="148" spans="1:12" ht="18.75" customHeight="1">
      <c r="A148" s="322"/>
      <c r="B148" s="83" t="s">
        <v>32</v>
      </c>
      <c r="C148" s="107" t="s">
        <v>291</v>
      </c>
      <c r="D148" s="85" t="s">
        <v>63</v>
      </c>
      <c r="E148" s="97">
        <v>7130311057</v>
      </c>
      <c r="F148" s="88">
        <v>314890.32</v>
      </c>
      <c r="G148" s="92" t="s">
        <v>707</v>
      </c>
      <c r="H148" s="142"/>
      <c r="I148" s="92" t="s">
        <v>707</v>
      </c>
      <c r="J148" s="87"/>
      <c r="K148" s="37"/>
      <c r="L148" s="37"/>
    </row>
    <row r="149" spans="1:12" ht="18.75" customHeight="1">
      <c r="A149" s="322"/>
      <c r="B149" s="83" t="s">
        <v>15</v>
      </c>
      <c r="C149" s="107" t="s">
        <v>293</v>
      </c>
      <c r="D149" s="85" t="s">
        <v>63</v>
      </c>
      <c r="E149" s="97">
        <v>7130311061</v>
      </c>
      <c r="F149" s="88">
        <v>590646.56000000006</v>
      </c>
      <c r="G149" s="92" t="s">
        <v>707</v>
      </c>
      <c r="H149" s="142"/>
      <c r="I149" s="92" t="s">
        <v>707</v>
      </c>
      <c r="J149" s="87"/>
      <c r="K149" s="37"/>
      <c r="L149" s="37"/>
    </row>
    <row r="150" spans="1:12" ht="18.75" customHeight="1">
      <c r="A150" s="322"/>
      <c r="B150" s="83" t="s">
        <v>88</v>
      </c>
      <c r="C150" s="146" t="s">
        <v>302</v>
      </c>
      <c r="D150" s="85" t="s">
        <v>63</v>
      </c>
      <c r="E150" s="85">
        <v>7130310050</v>
      </c>
      <c r="F150" s="88">
        <v>860007.9</v>
      </c>
      <c r="G150" s="92" t="s">
        <v>707</v>
      </c>
      <c r="H150" s="142"/>
      <c r="I150" s="92" t="s">
        <v>707</v>
      </c>
      <c r="J150" s="87"/>
      <c r="K150" s="37"/>
      <c r="L150" s="37"/>
    </row>
    <row r="151" spans="1:12" ht="24" customHeight="1">
      <c r="A151" s="317">
        <v>41</v>
      </c>
      <c r="B151" s="98"/>
      <c r="C151" s="148" t="s">
        <v>303</v>
      </c>
      <c r="D151" s="149"/>
      <c r="E151" s="150"/>
      <c r="F151" s="122"/>
      <c r="G151" s="86"/>
      <c r="H151" s="86"/>
      <c r="I151" s="86"/>
      <c r="J151" s="181"/>
      <c r="K151" s="37"/>
      <c r="L151" s="37"/>
    </row>
    <row r="152" spans="1:12" ht="18.75" customHeight="1">
      <c r="A152" s="318"/>
      <c r="B152" s="85" t="s">
        <v>125</v>
      </c>
      <c r="C152" s="146" t="s">
        <v>304</v>
      </c>
      <c r="D152" s="85" t="s">
        <v>63</v>
      </c>
      <c r="E152" s="85">
        <v>7130310051</v>
      </c>
      <c r="F152" s="88">
        <v>728689.84</v>
      </c>
      <c r="G152" s="86">
        <f>F152*1.071</f>
        <v>780426.81863999995</v>
      </c>
      <c r="H152" s="86">
        <f>G152*18%</f>
        <v>140476.82735519999</v>
      </c>
      <c r="I152" s="86">
        <f>G152+H152</f>
        <v>920903.64599519991</v>
      </c>
      <c r="J152" s="87">
        <v>0.18</v>
      </c>
      <c r="K152" s="37"/>
    </row>
    <row r="153" spans="1:12" ht="18.75" customHeight="1">
      <c r="A153" s="318"/>
      <c r="B153" s="85" t="s">
        <v>128</v>
      </c>
      <c r="C153" s="146" t="s">
        <v>305</v>
      </c>
      <c r="D153" s="85" t="s">
        <v>63</v>
      </c>
      <c r="E153" s="85">
        <v>7130310052</v>
      </c>
      <c r="F153" s="88">
        <v>894508.35</v>
      </c>
      <c r="G153" s="86">
        <f>F153*1.071</f>
        <v>958018.44284999988</v>
      </c>
      <c r="H153" s="86">
        <f>G153*18%</f>
        <v>172443.31971299998</v>
      </c>
      <c r="I153" s="86">
        <f>G153+H153</f>
        <v>1130461.762563</v>
      </c>
      <c r="J153" s="87">
        <v>0.18</v>
      </c>
      <c r="K153" s="37"/>
    </row>
    <row r="154" spans="1:12" ht="18.75" customHeight="1">
      <c r="A154" s="318"/>
      <c r="B154" s="85" t="s">
        <v>149</v>
      </c>
      <c r="C154" s="146" t="s">
        <v>306</v>
      </c>
      <c r="D154" s="85" t="s">
        <v>63</v>
      </c>
      <c r="E154" s="85">
        <v>7130310053</v>
      </c>
      <c r="F154" s="88">
        <v>1022387.29</v>
      </c>
      <c r="G154" s="86">
        <f>F154*1.071</f>
        <v>1094976.7875900001</v>
      </c>
      <c r="H154" s="86">
        <f>G154*18%</f>
        <v>197095.82176620001</v>
      </c>
      <c r="I154" s="86">
        <f>G154+H154</f>
        <v>1292072.6093562001</v>
      </c>
      <c r="J154" s="87">
        <v>0.18</v>
      </c>
      <c r="K154" s="37"/>
    </row>
    <row r="155" spans="1:12" ht="18.75" customHeight="1">
      <c r="A155" s="319"/>
      <c r="B155" s="85" t="s">
        <v>307</v>
      </c>
      <c r="C155" s="146" t="s">
        <v>308</v>
      </c>
      <c r="D155" s="85" t="s">
        <v>63</v>
      </c>
      <c r="E155" s="85">
        <v>7130310054</v>
      </c>
      <c r="F155" s="88">
        <v>1300071.08</v>
      </c>
      <c r="G155" s="86">
        <f>F155*1.071</f>
        <v>1392376.12668</v>
      </c>
      <c r="H155" s="86">
        <f>G155*18%</f>
        <v>250627.70280239999</v>
      </c>
      <c r="I155" s="86">
        <f>G155+H155</f>
        <v>1643003.8294823999</v>
      </c>
      <c r="J155" s="87">
        <v>0.18</v>
      </c>
      <c r="K155" s="37"/>
    </row>
    <row r="156" spans="1:12" ht="28.5" customHeight="1">
      <c r="A156" s="317">
        <v>42</v>
      </c>
      <c r="B156" s="151"/>
      <c r="C156" s="91" t="s">
        <v>309</v>
      </c>
      <c r="D156" s="79"/>
      <c r="E156" s="127"/>
      <c r="F156" s="79"/>
      <c r="G156" s="86"/>
      <c r="H156" s="86"/>
      <c r="I156" s="86"/>
      <c r="J156" s="79"/>
      <c r="K156" s="37"/>
    </row>
    <row r="157" spans="1:12" ht="30" customHeight="1">
      <c r="A157" s="318"/>
      <c r="B157" s="85" t="s">
        <v>8</v>
      </c>
      <c r="C157" s="107" t="s">
        <v>310</v>
      </c>
      <c r="D157" s="85" t="s">
        <v>57</v>
      </c>
      <c r="E157" s="85">
        <v>7130310055</v>
      </c>
      <c r="F157" s="88">
        <v>15107.22</v>
      </c>
      <c r="G157" s="86">
        <f t="shared" ref="G157:G168" si="8">F157*1</f>
        <v>15107.22</v>
      </c>
      <c r="H157" s="86">
        <f>G157*18%</f>
        <v>2719.2995999999998</v>
      </c>
      <c r="I157" s="86">
        <f>G157+H157</f>
        <v>17826.5196</v>
      </c>
      <c r="J157" s="87">
        <v>0.18</v>
      </c>
      <c r="K157" s="37"/>
    </row>
    <row r="158" spans="1:12" ht="29.25" customHeight="1">
      <c r="A158" s="318"/>
      <c r="B158" s="85" t="s">
        <v>11</v>
      </c>
      <c r="C158" s="107" t="s">
        <v>311</v>
      </c>
      <c r="D158" s="85" t="s">
        <v>57</v>
      </c>
      <c r="E158" s="85">
        <v>7130310056</v>
      </c>
      <c r="F158" s="88">
        <v>21581.74</v>
      </c>
      <c r="G158" s="86">
        <f t="shared" si="8"/>
        <v>21581.74</v>
      </c>
      <c r="H158" s="86">
        <f>G158*18%</f>
        <v>3884.7132000000001</v>
      </c>
      <c r="I158" s="86">
        <f>G158+H158</f>
        <v>25466.453200000004</v>
      </c>
      <c r="J158" s="87">
        <v>0.18</v>
      </c>
      <c r="K158" s="37"/>
    </row>
    <row r="159" spans="1:12" ht="29.25" customHeight="1">
      <c r="A159" s="318"/>
      <c r="B159" s="85" t="s">
        <v>32</v>
      </c>
      <c r="C159" s="107" t="s">
        <v>312</v>
      </c>
      <c r="D159" s="85" t="s">
        <v>57</v>
      </c>
      <c r="E159" s="85"/>
      <c r="F159" s="88">
        <v>28696.3</v>
      </c>
      <c r="G159" s="86">
        <f t="shared" si="8"/>
        <v>28696.3</v>
      </c>
      <c r="H159" s="86">
        <f>G159*18%</f>
        <v>5165.3339999999998</v>
      </c>
      <c r="I159" s="86">
        <f>G159+H159</f>
        <v>33861.633999999998</v>
      </c>
      <c r="J159" s="87">
        <v>0.18</v>
      </c>
      <c r="K159" s="37"/>
    </row>
    <row r="160" spans="1:12" ht="15.75" customHeight="1">
      <c r="A160" s="318"/>
      <c r="B160" s="85" t="s">
        <v>15</v>
      </c>
      <c r="C160" s="107" t="s">
        <v>313</v>
      </c>
      <c r="D160" s="85" t="s">
        <v>57</v>
      </c>
      <c r="E160" s="85">
        <v>7130320037</v>
      </c>
      <c r="F160" s="88">
        <v>8632.7000000000007</v>
      </c>
      <c r="G160" s="86">
        <f t="shared" si="8"/>
        <v>8632.7000000000007</v>
      </c>
      <c r="H160" s="86">
        <f>G160*18%</f>
        <v>1553.886</v>
      </c>
      <c r="I160" s="86">
        <f>G160+H160</f>
        <v>10186.586000000001</v>
      </c>
      <c r="J160" s="87">
        <v>0.18</v>
      </c>
      <c r="K160" s="37"/>
    </row>
    <row r="161" spans="1:11" ht="29.25" customHeight="1">
      <c r="A161" s="318"/>
      <c r="B161" s="85" t="s">
        <v>88</v>
      </c>
      <c r="C161" s="107" t="s">
        <v>314</v>
      </c>
      <c r="D161" s="85" t="s">
        <v>57</v>
      </c>
      <c r="E161" s="85">
        <v>7130320038</v>
      </c>
      <c r="F161" s="88">
        <v>10790.87</v>
      </c>
      <c r="G161" s="86">
        <f t="shared" si="8"/>
        <v>10790.87</v>
      </c>
      <c r="H161" s="86">
        <f>G161*18%</f>
        <v>1942.3566000000001</v>
      </c>
      <c r="I161" s="86">
        <f>G161+H161</f>
        <v>12733.226600000002</v>
      </c>
      <c r="J161" s="87">
        <v>0.18</v>
      </c>
      <c r="K161" s="37"/>
    </row>
    <row r="162" spans="1:11" ht="18.75" customHeight="1">
      <c r="A162" s="318"/>
      <c r="B162" s="85" t="s">
        <v>108</v>
      </c>
      <c r="C162" s="107" t="s">
        <v>315</v>
      </c>
      <c r="D162" s="85" t="s">
        <v>57</v>
      </c>
      <c r="E162" s="85">
        <v>7130320039</v>
      </c>
      <c r="F162" s="88">
        <v>12949.04</v>
      </c>
      <c r="G162" s="86">
        <f t="shared" si="8"/>
        <v>12949.04</v>
      </c>
      <c r="H162" s="86">
        <f t="shared" ref="H162:H168" si="9">G162*18%</f>
        <v>2330.8272000000002</v>
      </c>
      <c r="I162" s="86">
        <f t="shared" ref="I162:I168" si="10">G162+H162</f>
        <v>15279.867200000001</v>
      </c>
      <c r="J162" s="87">
        <v>0.18</v>
      </c>
      <c r="K162" s="37"/>
    </row>
    <row r="163" spans="1:11" ht="18.75" customHeight="1">
      <c r="A163" s="318"/>
      <c r="B163" s="85" t="s">
        <v>56</v>
      </c>
      <c r="C163" s="107" t="s">
        <v>316</v>
      </c>
      <c r="D163" s="85" t="s">
        <v>57</v>
      </c>
      <c r="E163" s="85">
        <v>7130320040</v>
      </c>
      <c r="F163" s="88">
        <v>15107.22</v>
      </c>
      <c r="G163" s="86">
        <f t="shared" si="8"/>
        <v>15107.22</v>
      </c>
      <c r="H163" s="86">
        <f t="shared" si="9"/>
        <v>2719.2995999999998</v>
      </c>
      <c r="I163" s="86">
        <f t="shared" si="10"/>
        <v>17826.5196</v>
      </c>
      <c r="J163" s="87">
        <v>0.18</v>
      </c>
      <c r="K163" s="37"/>
    </row>
    <row r="164" spans="1:11" ht="18.75" customHeight="1">
      <c r="A164" s="318"/>
      <c r="B164" s="85" t="s">
        <v>180</v>
      </c>
      <c r="C164" s="107" t="s">
        <v>317</v>
      </c>
      <c r="D164" s="85" t="s">
        <v>57</v>
      </c>
      <c r="E164" s="85">
        <v>7130320041</v>
      </c>
      <c r="F164" s="88">
        <v>16186.31</v>
      </c>
      <c r="G164" s="86">
        <f t="shared" si="8"/>
        <v>16186.31</v>
      </c>
      <c r="H164" s="86">
        <f t="shared" si="9"/>
        <v>2913.5357999999997</v>
      </c>
      <c r="I164" s="86">
        <f t="shared" si="10"/>
        <v>19099.845799999999</v>
      </c>
      <c r="J164" s="87">
        <v>0.18</v>
      </c>
      <c r="K164" s="37"/>
    </row>
    <row r="165" spans="1:11" ht="18.75" customHeight="1">
      <c r="A165" s="318"/>
      <c r="B165" s="85" t="s">
        <v>218</v>
      </c>
      <c r="C165" s="107" t="s">
        <v>318</v>
      </c>
      <c r="D165" s="85" t="s">
        <v>57</v>
      </c>
      <c r="E165" s="85">
        <v>7130320042</v>
      </c>
      <c r="F165" s="88">
        <v>19423.57</v>
      </c>
      <c r="G165" s="86">
        <f t="shared" si="8"/>
        <v>19423.57</v>
      </c>
      <c r="H165" s="86">
        <f t="shared" si="9"/>
        <v>3496.2426</v>
      </c>
      <c r="I165" s="86">
        <f t="shared" si="10"/>
        <v>22919.812600000001</v>
      </c>
      <c r="J165" s="87">
        <v>0.18</v>
      </c>
      <c r="K165" s="37"/>
    </row>
    <row r="166" spans="1:11" ht="28.5" customHeight="1">
      <c r="A166" s="318"/>
      <c r="B166" s="85" t="s">
        <v>220</v>
      </c>
      <c r="C166" s="107" t="s">
        <v>319</v>
      </c>
      <c r="D166" s="85" t="s">
        <v>5</v>
      </c>
      <c r="E166" s="85">
        <v>7130320043</v>
      </c>
      <c r="F166" s="88">
        <v>679.43</v>
      </c>
      <c r="G166" s="86">
        <f t="shared" si="8"/>
        <v>679.43</v>
      </c>
      <c r="H166" s="86">
        <f t="shared" si="9"/>
        <v>122.29739999999998</v>
      </c>
      <c r="I166" s="86">
        <f t="shared" si="10"/>
        <v>801.72739999999999</v>
      </c>
      <c r="J166" s="87">
        <v>0.18</v>
      </c>
      <c r="K166" s="37"/>
    </row>
    <row r="167" spans="1:11" ht="28.5" customHeight="1">
      <c r="A167" s="318"/>
      <c r="B167" s="85" t="s">
        <v>222</v>
      </c>
      <c r="C167" s="107" t="s">
        <v>320</v>
      </c>
      <c r="D167" s="85" t="s">
        <v>5</v>
      </c>
      <c r="E167" s="94">
        <v>7130320044</v>
      </c>
      <c r="F167" s="88">
        <v>733.92</v>
      </c>
      <c r="G167" s="86">
        <f t="shared" si="8"/>
        <v>733.92</v>
      </c>
      <c r="H167" s="86">
        <f t="shared" si="9"/>
        <v>132.10559999999998</v>
      </c>
      <c r="I167" s="86">
        <f t="shared" si="10"/>
        <v>866.02559999999994</v>
      </c>
      <c r="J167" s="87">
        <v>0.18</v>
      </c>
      <c r="K167" s="37"/>
    </row>
    <row r="168" spans="1:11" ht="19.5" customHeight="1">
      <c r="A168" s="319"/>
      <c r="B168" s="85" t="s">
        <v>224</v>
      </c>
      <c r="C168" s="107" t="s">
        <v>321</v>
      </c>
      <c r="D168" s="85" t="s">
        <v>5</v>
      </c>
      <c r="E168" s="94">
        <v>7130320045</v>
      </c>
      <c r="F168" s="88">
        <v>21.8</v>
      </c>
      <c r="G168" s="86">
        <f t="shared" si="8"/>
        <v>21.8</v>
      </c>
      <c r="H168" s="86">
        <f t="shared" si="9"/>
        <v>3.9239999999999999</v>
      </c>
      <c r="I168" s="86">
        <f t="shared" si="10"/>
        <v>25.724</v>
      </c>
      <c r="J168" s="87">
        <v>0.18</v>
      </c>
      <c r="K168" s="37"/>
    </row>
    <row r="169" spans="1:11" ht="18.75" customHeight="1">
      <c r="A169" s="317">
        <v>43</v>
      </c>
      <c r="B169" s="89"/>
      <c r="C169" s="77" t="s">
        <v>322</v>
      </c>
      <c r="D169" s="96"/>
      <c r="E169" s="124"/>
      <c r="F169" s="96"/>
      <c r="G169" s="86"/>
      <c r="H169" s="86"/>
      <c r="I169" s="86"/>
      <c r="J169" s="96"/>
      <c r="K169" s="37"/>
    </row>
    <row r="170" spans="1:11" ht="28.5" customHeight="1">
      <c r="A170" s="318"/>
      <c r="B170" s="83" t="s">
        <v>8</v>
      </c>
      <c r="C170" s="107" t="s">
        <v>323</v>
      </c>
      <c r="D170" s="88" t="s">
        <v>63</v>
      </c>
      <c r="E170" s="85">
        <v>7130310057</v>
      </c>
      <c r="F170" s="86">
        <v>248514.48</v>
      </c>
      <c r="G170" s="86">
        <f>F170*1.071</f>
        <v>266159.00808</v>
      </c>
      <c r="H170" s="86">
        <f>G170*18%</f>
        <v>47908.621454399996</v>
      </c>
      <c r="I170" s="86">
        <f>G170+H170</f>
        <v>314067.62953440001</v>
      </c>
      <c r="J170" s="87">
        <v>0.18</v>
      </c>
      <c r="K170" s="37"/>
    </row>
    <row r="171" spans="1:11" ht="27.75" customHeight="1">
      <c r="A171" s="318"/>
      <c r="B171" s="83" t="s">
        <v>11</v>
      </c>
      <c r="C171" s="107" t="s">
        <v>324</v>
      </c>
      <c r="D171" s="88" t="s">
        <v>63</v>
      </c>
      <c r="E171" s="85">
        <v>7130310058</v>
      </c>
      <c r="F171" s="86">
        <v>351584.83</v>
      </c>
      <c r="G171" s="86">
        <f>F171*1.071</f>
        <v>376547.35292999999</v>
      </c>
      <c r="H171" s="86">
        <f>G171*18%</f>
        <v>67778.523527400001</v>
      </c>
      <c r="I171" s="86">
        <f>G171+H171</f>
        <v>444325.87645739998</v>
      </c>
      <c r="J171" s="87">
        <v>0.18</v>
      </c>
      <c r="K171" s="37"/>
    </row>
    <row r="172" spans="1:11" ht="29.25" customHeight="1">
      <c r="A172" s="318"/>
      <c r="B172" s="83" t="s">
        <v>32</v>
      </c>
      <c r="C172" s="107" t="s">
        <v>325</v>
      </c>
      <c r="D172" s="88" t="s">
        <v>63</v>
      </c>
      <c r="E172" s="85">
        <v>7130310059</v>
      </c>
      <c r="F172" s="86">
        <v>525717.98</v>
      </c>
      <c r="G172" s="86">
        <f>F172*1.071</f>
        <v>563043.95658</v>
      </c>
      <c r="H172" s="86">
        <f>G172*18%</f>
        <v>101347.91218439999</v>
      </c>
      <c r="I172" s="86">
        <f>G172+H172</f>
        <v>664391.86876440002</v>
      </c>
      <c r="J172" s="87">
        <v>0.18</v>
      </c>
      <c r="K172" s="37"/>
    </row>
    <row r="173" spans="1:11" ht="27.75" customHeight="1">
      <c r="A173" s="319"/>
      <c r="B173" s="83" t="s">
        <v>15</v>
      </c>
      <c r="C173" s="107" t="s">
        <v>326</v>
      </c>
      <c r="D173" s="88" t="s">
        <v>63</v>
      </c>
      <c r="E173" s="85">
        <v>7130310060</v>
      </c>
      <c r="F173" s="86">
        <v>495882.78</v>
      </c>
      <c r="G173" s="86">
        <f>F173*1.071</f>
        <v>531090.45738000004</v>
      </c>
      <c r="H173" s="86">
        <f>G173*18%</f>
        <v>95596.282328400004</v>
      </c>
      <c r="I173" s="86">
        <f>G173+H173</f>
        <v>626686.7397084001</v>
      </c>
      <c r="J173" s="87">
        <v>0.18</v>
      </c>
      <c r="K173" s="37"/>
    </row>
    <row r="174" spans="1:11" ht="29.25" customHeight="1">
      <c r="A174" s="317">
        <v>44</v>
      </c>
      <c r="B174" s="89"/>
      <c r="C174" s="91" t="s">
        <v>327</v>
      </c>
      <c r="D174" s="79"/>
      <c r="E174" s="127"/>
      <c r="F174" s="79"/>
      <c r="G174" s="86"/>
      <c r="H174" s="86"/>
      <c r="I174" s="86"/>
      <c r="J174" s="79"/>
      <c r="K174" s="37"/>
    </row>
    <row r="175" spans="1:11" ht="28.5" customHeight="1">
      <c r="A175" s="318"/>
      <c r="B175" s="85" t="s">
        <v>8</v>
      </c>
      <c r="C175" s="107" t="s">
        <v>328</v>
      </c>
      <c r="D175" s="85" t="s">
        <v>57</v>
      </c>
      <c r="E175" s="85">
        <v>7130310061</v>
      </c>
      <c r="F175" s="86">
        <v>3297.21</v>
      </c>
      <c r="G175" s="86">
        <f t="shared" ref="G175:G184" si="11">F175*1</f>
        <v>3297.21</v>
      </c>
      <c r="H175" s="86">
        <f t="shared" ref="H175:H184" si="12">G175*18%</f>
        <v>593.49779999999998</v>
      </c>
      <c r="I175" s="86">
        <f t="shared" ref="I175:I184" si="13">G175+H175</f>
        <v>3890.7078000000001</v>
      </c>
      <c r="J175" s="87">
        <v>0.18</v>
      </c>
      <c r="K175" s="37"/>
    </row>
    <row r="176" spans="1:11" ht="30" customHeight="1">
      <c r="A176" s="318"/>
      <c r="B176" s="85" t="s">
        <v>11</v>
      </c>
      <c r="C176" s="107" t="s">
        <v>329</v>
      </c>
      <c r="D176" s="85" t="s">
        <v>57</v>
      </c>
      <c r="E176" s="85">
        <v>7130310062</v>
      </c>
      <c r="F176" s="86">
        <v>3469.79</v>
      </c>
      <c r="G176" s="86">
        <f t="shared" si="11"/>
        <v>3469.79</v>
      </c>
      <c r="H176" s="86">
        <f t="shared" si="12"/>
        <v>624.56219999999996</v>
      </c>
      <c r="I176" s="86">
        <f t="shared" si="13"/>
        <v>4094.3521999999998</v>
      </c>
      <c r="J176" s="87">
        <v>0.18</v>
      </c>
      <c r="K176" s="37"/>
    </row>
    <row r="177" spans="1:12" ht="27.75" customHeight="1">
      <c r="A177" s="318"/>
      <c r="B177" s="85" t="s">
        <v>32</v>
      </c>
      <c r="C177" s="107" t="s">
        <v>330</v>
      </c>
      <c r="D177" s="83" t="s">
        <v>60</v>
      </c>
      <c r="E177" s="85">
        <v>7130320047</v>
      </c>
      <c r="F177" s="86">
        <v>3274.07</v>
      </c>
      <c r="G177" s="86">
        <f t="shared" si="11"/>
        <v>3274.07</v>
      </c>
      <c r="H177" s="86">
        <f t="shared" si="12"/>
        <v>589.33259999999996</v>
      </c>
      <c r="I177" s="86">
        <f t="shared" si="13"/>
        <v>3863.4026000000003</v>
      </c>
      <c r="J177" s="87">
        <v>0.18</v>
      </c>
      <c r="K177" s="37"/>
    </row>
    <row r="178" spans="1:12" ht="20.25" customHeight="1">
      <c r="A178" s="318"/>
      <c r="B178" s="85" t="s">
        <v>15</v>
      </c>
      <c r="C178" s="107" t="s">
        <v>331</v>
      </c>
      <c r="D178" s="85" t="s">
        <v>57</v>
      </c>
      <c r="E178" s="85">
        <v>7130320048</v>
      </c>
      <c r="F178" s="86">
        <v>2088.23</v>
      </c>
      <c r="G178" s="86">
        <f t="shared" si="11"/>
        <v>2088.23</v>
      </c>
      <c r="H178" s="86">
        <f t="shared" si="12"/>
        <v>375.88139999999999</v>
      </c>
      <c r="I178" s="86">
        <f t="shared" si="13"/>
        <v>2464.1113999999998</v>
      </c>
      <c r="J178" s="87">
        <v>0.18</v>
      </c>
      <c r="K178" s="37"/>
    </row>
    <row r="179" spans="1:12" ht="27.75" customHeight="1">
      <c r="A179" s="318"/>
      <c r="B179" s="85" t="s">
        <v>88</v>
      </c>
      <c r="C179" s="107" t="s">
        <v>332</v>
      </c>
      <c r="D179" s="85" t="s">
        <v>57</v>
      </c>
      <c r="E179" s="85">
        <v>7130320049</v>
      </c>
      <c r="F179" s="86">
        <v>2199.96</v>
      </c>
      <c r="G179" s="86">
        <f t="shared" si="11"/>
        <v>2199.96</v>
      </c>
      <c r="H179" s="86">
        <f t="shared" si="12"/>
        <v>395.99279999999999</v>
      </c>
      <c r="I179" s="86">
        <f t="shared" si="13"/>
        <v>2595.9528</v>
      </c>
      <c r="J179" s="87">
        <v>0.18</v>
      </c>
      <c r="K179" s="37"/>
    </row>
    <row r="180" spans="1:12" ht="30" customHeight="1">
      <c r="A180" s="318"/>
      <c r="B180" s="85" t="s">
        <v>108</v>
      </c>
      <c r="C180" s="107" t="s">
        <v>319</v>
      </c>
      <c r="D180" s="85" t="s">
        <v>5</v>
      </c>
      <c r="E180" s="85">
        <v>7130877683</v>
      </c>
      <c r="F180" s="86">
        <v>1758.51</v>
      </c>
      <c r="G180" s="86">
        <f t="shared" si="11"/>
        <v>1758.51</v>
      </c>
      <c r="H180" s="86">
        <f t="shared" si="12"/>
        <v>316.53179999999998</v>
      </c>
      <c r="I180" s="86">
        <f t="shared" si="13"/>
        <v>2075.0418</v>
      </c>
      <c r="J180" s="87">
        <v>0.18</v>
      </c>
      <c r="K180" s="37"/>
    </row>
    <row r="181" spans="1:12" ht="30" customHeight="1">
      <c r="A181" s="318"/>
      <c r="B181" s="85" t="s">
        <v>56</v>
      </c>
      <c r="C181" s="107" t="s">
        <v>320</v>
      </c>
      <c r="D181" s="85" t="s">
        <v>5</v>
      </c>
      <c r="E181" s="94">
        <v>7130877681</v>
      </c>
      <c r="F181" s="86">
        <v>1978.33</v>
      </c>
      <c r="G181" s="86">
        <f t="shared" si="11"/>
        <v>1978.33</v>
      </c>
      <c r="H181" s="86">
        <f t="shared" si="12"/>
        <v>356.09939999999995</v>
      </c>
      <c r="I181" s="86">
        <f t="shared" si="13"/>
        <v>2334.4294</v>
      </c>
      <c r="J181" s="87">
        <v>0.18</v>
      </c>
      <c r="K181" s="37"/>
    </row>
    <row r="182" spans="1:12" ht="18" customHeight="1">
      <c r="A182" s="318"/>
      <c r="B182" s="85" t="s">
        <v>180</v>
      </c>
      <c r="C182" s="107" t="s">
        <v>321</v>
      </c>
      <c r="D182" s="85" t="s">
        <v>5</v>
      </c>
      <c r="E182" s="94">
        <v>7130820029</v>
      </c>
      <c r="F182" s="86">
        <v>27.25</v>
      </c>
      <c r="G182" s="86">
        <f t="shared" si="11"/>
        <v>27.25</v>
      </c>
      <c r="H182" s="86">
        <f t="shared" si="12"/>
        <v>4.9050000000000002</v>
      </c>
      <c r="I182" s="86">
        <f t="shared" si="13"/>
        <v>32.155000000000001</v>
      </c>
      <c r="J182" s="87">
        <v>0.18</v>
      </c>
      <c r="K182" s="37"/>
    </row>
    <row r="183" spans="1:12" ht="18.75" customHeight="1">
      <c r="A183" s="318"/>
      <c r="B183" s="83" t="s">
        <v>218</v>
      </c>
      <c r="C183" s="135" t="s">
        <v>61</v>
      </c>
      <c r="D183" s="152" t="s">
        <v>60</v>
      </c>
      <c r="E183" s="94">
        <v>7130840003</v>
      </c>
      <c r="F183" s="85">
        <v>699.78</v>
      </c>
      <c r="G183" s="86">
        <f t="shared" si="11"/>
        <v>699.78</v>
      </c>
      <c r="H183" s="86">
        <f t="shared" si="12"/>
        <v>125.96039999999999</v>
      </c>
      <c r="I183" s="86">
        <f t="shared" si="13"/>
        <v>825.74039999999991</v>
      </c>
      <c r="J183" s="87">
        <v>0.18</v>
      </c>
      <c r="K183" s="63" t="s">
        <v>709</v>
      </c>
      <c r="L183" s="63"/>
    </row>
    <row r="184" spans="1:12" ht="21" customHeight="1">
      <c r="A184" s="319"/>
      <c r="B184" s="83" t="s">
        <v>220</v>
      </c>
      <c r="C184" s="135" t="s">
        <v>62</v>
      </c>
      <c r="D184" s="152" t="s">
        <v>60</v>
      </c>
      <c r="E184" s="94">
        <v>7131950396</v>
      </c>
      <c r="F184" s="85">
        <v>106.32</v>
      </c>
      <c r="G184" s="86">
        <f t="shared" si="11"/>
        <v>106.32</v>
      </c>
      <c r="H184" s="86">
        <f t="shared" si="12"/>
        <v>19.137599999999999</v>
      </c>
      <c r="I184" s="86">
        <f t="shared" si="13"/>
        <v>125.45759999999999</v>
      </c>
      <c r="J184" s="87">
        <v>0.18</v>
      </c>
      <c r="K184" s="63" t="s">
        <v>709</v>
      </c>
      <c r="L184" s="63"/>
    </row>
    <row r="185" spans="1:12" ht="18.75" customHeight="1">
      <c r="A185" s="317">
        <v>45</v>
      </c>
      <c r="B185" s="95"/>
      <c r="C185" s="77" t="s">
        <v>728</v>
      </c>
      <c r="D185" s="131"/>
      <c r="E185" s="132"/>
      <c r="F185" s="89"/>
      <c r="G185" s="86"/>
      <c r="H185" s="86"/>
      <c r="I185" s="86"/>
      <c r="J185" s="181"/>
    </row>
    <row r="186" spans="1:12" ht="29.25" customHeight="1">
      <c r="A186" s="318"/>
      <c r="B186" s="85" t="s">
        <v>8</v>
      </c>
      <c r="C186" s="107" t="s">
        <v>334</v>
      </c>
      <c r="D186" s="88" t="s">
        <v>63</v>
      </c>
      <c r="E186" s="83">
        <v>7130310063</v>
      </c>
      <c r="F186" s="86">
        <v>43767.95</v>
      </c>
      <c r="G186" s="86">
        <f>34088+813.85</f>
        <v>34901.85</v>
      </c>
      <c r="H186" s="86">
        <f>G186*18%</f>
        <v>6282.3329999999996</v>
      </c>
      <c r="I186" s="86">
        <f>G186+H186</f>
        <v>41184.182999999997</v>
      </c>
      <c r="J186" s="87">
        <v>0.18</v>
      </c>
    </row>
    <row r="187" spans="1:12" ht="27" customHeight="1">
      <c r="A187" s="318"/>
      <c r="B187" s="83" t="s">
        <v>108</v>
      </c>
      <c r="C187" s="107" t="s">
        <v>339</v>
      </c>
      <c r="D187" s="88" t="s">
        <v>63</v>
      </c>
      <c r="E187" s="83">
        <v>7130310066</v>
      </c>
      <c r="F187" s="88">
        <v>102948.56</v>
      </c>
      <c r="G187" s="86">
        <f>F187*1.0199</f>
        <v>104997.236344</v>
      </c>
      <c r="H187" s="86">
        <f>G187*18%</f>
        <v>18899.502541919999</v>
      </c>
      <c r="I187" s="86">
        <f>G187+H187</f>
        <v>123896.73888592</v>
      </c>
      <c r="J187" s="87">
        <v>0.18</v>
      </c>
      <c r="K187" s="37"/>
    </row>
    <row r="188" spans="1:12" ht="29.25" customHeight="1">
      <c r="A188" s="319"/>
      <c r="B188" s="83" t="s">
        <v>220</v>
      </c>
      <c r="C188" s="107" t="s">
        <v>343</v>
      </c>
      <c r="D188" s="88" t="s">
        <v>63</v>
      </c>
      <c r="E188" s="95"/>
      <c r="F188" s="88">
        <v>33551.31</v>
      </c>
      <c r="G188" s="92" t="s">
        <v>707</v>
      </c>
      <c r="H188" s="86"/>
      <c r="I188" s="92" t="s">
        <v>707</v>
      </c>
      <c r="J188" s="179"/>
      <c r="K188" s="37"/>
    </row>
    <row r="189" spans="1:12" ht="30.75" customHeight="1">
      <c r="A189" s="317">
        <v>46</v>
      </c>
      <c r="B189" s="89"/>
      <c r="C189" s="77" t="s">
        <v>344</v>
      </c>
      <c r="D189" s="96"/>
      <c r="E189" s="96"/>
      <c r="F189" s="96"/>
      <c r="G189" s="138"/>
      <c r="H189" s="138"/>
      <c r="I189" s="143"/>
      <c r="J189" s="96"/>
      <c r="K189" s="37"/>
    </row>
    <row r="190" spans="1:12" ht="40.5" customHeight="1">
      <c r="A190" s="318"/>
      <c r="B190" s="83">
        <v>1</v>
      </c>
      <c r="C190" s="84" t="s">
        <v>345</v>
      </c>
      <c r="D190" s="83" t="s">
        <v>5</v>
      </c>
      <c r="E190" s="83">
        <v>7131950010</v>
      </c>
      <c r="F190" s="86">
        <f>727.93+58.01</f>
        <v>785.93999999999994</v>
      </c>
      <c r="G190" s="86">
        <f t="shared" ref="G190:G195" si="14">F190*1.068</f>
        <v>839.38391999999999</v>
      </c>
      <c r="H190" s="86">
        <f t="shared" ref="H190:H207" si="15">G190*18%</f>
        <v>151.08910559999998</v>
      </c>
      <c r="I190" s="126">
        <f t="shared" ref="I190:I207" si="16">G190+H190</f>
        <v>990.47302560000003</v>
      </c>
      <c r="J190" s="87">
        <v>0.18</v>
      </c>
      <c r="K190" s="191"/>
    </row>
    <row r="191" spans="1:12" ht="42" customHeight="1">
      <c r="A191" s="318"/>
      <c r="B191" s="83">
        <v>2</v>
      </c>
      <c r="C191" s="84" t="s">
        <v>346</v>
      </c>
      <c r="D191" s="83" t="s">
        <v>5</v>
      </c>
      <c r="E191" s="83">
        <v>7131950012</v>
      </c>
      <c r="F191" s="86">
        <f>899+47.75</f>
        <v>946.75</v>
      </c>
      <c r="G191" s="86">
        <f t="shared" si="14"/>
        <v>1011.129</v>
      </c>
      <c r="H191" s="86">
        <f t="shared" si="15"/>
        <v>182.00322</v>
      </c>
      <c r="I191" s="126">
        <f t="shared" si="16"/>
        <v>1193.13222</v>
      </c>
      <c r="J191" s="87">
        <v>0.18</v>
      </c>
      <c r="K191" s="191"/>
    </row>
    <row r="192" spans="1:12" ht="40.5" customHeight="1">
      <c r="A192" s="318"/>
      <c r="B192" s="83">
        <v>3</v>
      </c>
      <c r="C192" s="107" t="s">
        <v>347</v>
      </c>
      <c r="D192" s="88" t="s">
        <v>25</v>
      </c>
      <c r="E192" s="85">
        <v>7130390003</v>
      </c>
      <c r="F192" s="86">
        <v>66.89</v>
      </c>
      <c r="G192" s="86">
        <f t="shared" si="14"/>
        <v>71.438520000000011</v>
      </c>
      <c r="H192" s="86">
        <f t="shared" si="15"/>
        <v>12.858933600000002</v>
      </c>
      <c r="I192" s="126">
        <f t="shared" si="16"/>
        <v>84.297453600000011</v>
      </c>
      <c r="J192" s="87">
        <v>0.18</v>
      </c>
      <c r="K192" s="37"/>
    </row>
    <row r="193" spans="1:11" ht="39.75" customHeight="1">
      <c r="A193" s="318"/>
      <c r="B193" s="83">
        <v>4</v>
      </c>
      <c r="C193" s="107" t="s">
        <v>348</v>
      </c>
      <c r="D193" s="88" t="s">
        <v>25</v>
      </c>
      <c r="E193" s="85">
        <v>7130390004</v>
      </c>
      <c r="F193" s="86">
        <v>87.14</v>
      </c>
      <c r="G193" s="86">
        <f t="shared" si="14"/>
        <v>93.065520000000006</v>
      </c>
      <c r="H193" s="86">
        <f t="shared" si="15"/>
        <v>16.751793599999999</v>
      </c>
      <c r="I193" s="126">
        <f t="shared" si="16"/>
        <v>109.81731360000001</v>
      </c>
      <c r="J193" s="87">
        <v>0.18</v>
      </c>
      <c r="K193" s="37"/>
    </row>
    <row r="194" spans="1:11" ht="39.75" customHeight="1">
      <c r="A194" s="318"/>
      <c r="B194" s="83">
        <v>5</v>
      </c>
      <c r="C194" s="107" t="s">
        <v>349</v>
      </c>
      <c r="D194" s="88" t="s">
        <v>25</v>
      </c>
      <c r="E194" s="85">
        <v>7130390005</v>
      </c>
      <c r="F194" s="86">
        <v>121.46</v>
      </c>
      <c r="G194" s="86">
        <f t="shared" si="14"/>
        <v>129.71928</v>
      </c>
      <c r="H194" s="86">
        <f t="shared" si="15"/>
        <v>23.349470399999998</v>
      </c>
      <c r="I194" s="126">
        <f t="shared" si="16"/>
        <v>153.0687504</v>
      </c>
      <c r="J194" s="87">
        <v>0.18</v>
      </c>
      <c r="K194" s="37"/>
    </row>
    <row r="195" spans="1:11" ht="28.5" customHeight="1">
      <c r="A195" s="318"/>
      <c r="B195" s="83">
        <v>6</v>
      </c>
      <c r="C195" s="107" t="s">
        <v>350</v>
      </c>
      <c r="D195" s="88" t="s">
        <v>25</v>
      </c>
      <c r="E195" s="85">
        <v>7130354442</v>
      </c>
      <c r="F195" s="86">
        <v>524.58000000000004</v>
      </c>
      <c r="G195" s="86">
        <f t="shared" si="14"/>
        <v>560.25144000000012</v>
      </c>
      <c r="H195" s="86">
        <f t="shared" si="15"/>
        <v>100.84525920000002</v>
      </c>
      <c r="I195" s="126">
        <f t="shared" si="16"/>
        <v>661.0966992000001</v>
      </c>
      <c r="J195" s="87">
        <v>0.18</v>
      </c>
      <c r="K195" s="37"/>
    </row>
    <row r="196" spans="1:11" ht="20.25" customHeight="1">
      <c r="A196" s="318"/>
      <c r="B196" s="83">
        <v>7</v>
      </c>
      <c r="C196" s="84" t="s">
        <v>351</v>
      </c>
      <c r="D196" s="83" t="s">
        <v>25</v>
      </c>
      <c r="E196" s="97">
        <v>7130390007</v>
      </c>
      <c r="F196" s="86">
        <v>143.47</v>
      </c>
      <c r="G196" s="86">
        <f>F196*1</f>
        <v>143.47</v>
      </c>
      <c r="H196" s="86">
        <f t="shared" si="15"/>
        <v>25.8246</v>
      </c>
      <c r="I196" s="126">
        <f t="shared" si="16"/>
        <v>169.2946</v>
      </c>
      <c r="J196" s="87">
        <v>0.18</v>
      </c>
      <c r="K196" s="37"/>
    </row>
    <row r="197" spans="1:11" ht="18" customHeight="1">
      <c r="A197" s="318"/>
      <c r="B197" s="83">
        <v>8</v>
      </c>
      <c r="C197" s="84" t="s">
        <v>352</v>
      </c>
      <c r="D197" s="83" t="s">
        <v>25</v>
      </c>
      <c r="E197" s="97">
        <v>7130810102</v>
      </c>
      <c r="F197" s="86">
        <v>292.22000000000003</v>
      </c>
      <c r="G197" s="86">
        <f>F197*1</f>
        <v>292.22000000000003</v>
      </c>
      <c r="H197" s="86">
        <f t="shared" si="15"/>
        <v>52.599600000000002</v>
      </c>
      <c r="I197" s="126">
        <f t="shared" si="16"/>
        <v>344.81960000000004</v>
      </c>
      <c r="J197" s="87">
        <v>0.18</v>
      </c>
      <c r="K197" s="37"/>
    </row>
    <row r="198" spans="1:11" ht="19.5" customHeight="1">
      <c r="A198" s="318"/>
      <c r="B198" s="85">
        <v>9</v>
      </c>
      <c r="C198" s="107" t="s">
        <v>353</v>
      </c>
      <c r="D198" s="85" t="s">
        <v>25</v>
      </c>
      <c r="E198" s="85">
        <v>7131390014</v>
      </c>
      <c r="F198" s="86">
        <v>147.15</v>
      </c>
      <c r="G198" s="86">
        <f>F198*1.071</f>
        <v>157.59764999999999</v>
      </c>
      <c r="H198" s="86">
        <f t="shared" si="15"/>
        <v>28.367576999999997</v>
      </c>
      <c r="I198" s="126">
        <f t="shared" si="16"/>
        <v>185.96522699999997</v>
      </c>
      <c r="J198" s="87">
        <v>0.18</v>
      </c>
      <c r="K198" s="37"/>
    </row>
    <row r="199" spans="1:11" ht="19.5" customHeight="1">
      <c r="A199" s="318"/>
      <c r="B199" s="85">
        <v>10</v>
      </c>
      <c r="C199" s="107" t="s">
        <v>354</v>
      </c>
      <c r="D199" s="85" t="s">
        <v>25</v>
      </c>
      <c r="E199" s="85">
        <v>7131390015</v>
      </c>
      <c r="F199" s="86">
        <v>27.25</v>
      </c>
      <c r="G199" s="86">
        <f>F199*1</f>
        <v>27.25</v>
      </c>
      <c r="H199" s="86">
        <f t="shared" si="15"/>
        <v>4.9050000000000002</v>
      </c>
      <c r="I199" s="126">
        <f t="shared" si="16"/>
        <v>32.155000000000001</v>
      </c>
      <c r="J199" s="87">
        <v>0.18</v>
      </c>
      <c r="K199" s="192"/>
    </row>
    <row r="200" spans="1:11" ht="18.75" customHeight="1">
      <c r="A200" s="318"/>
      <c r="B200" s="85">
        <v>11</v>
      </c>
      <c r="C200" s="107" t="s">
        <v>355</v>
      </c>
      <c r="D200" s="85" t="s">
        <v>25</v>
      </c>
      <c r="E200" s="85">
        <v>7131390016</v>
      </c>
      <c r="F200" s="86">
        <v>366.05</v>
      </c>
      <c r="G200" s="86">
        <f>F200*1.043</f>
        <v>381.79014999999998</v>
      </c>
      <c r="H200" s="86">
        <f t="shared" si="15"/>
        <v>68.72222699999999</v>
      </c>
      <c r="I200" s="126">
        <f t="shared" si="16"/>
        <v>450.51237699999996</v>
      </c>
      <c r="J200" s="87">
        <v>0.18</v>
      </c>
      <c r="K200" s="37"/>
    </row>
    <row r="201" spans="1:11" ht="39.75" customHeight="1">
      <c r="A201" s="318"/>
      <c r="B201" s="85">
        <v>12</v>
      </c>
      <c r="C201" s="107" t="s">
        <v>356</v>
      </c>
      <c r="D201" s="85" t="s">
        <v>25</v>
      </c>
      <c r="E201" s="85">
        <v>7130797532</v>
      </c>
      <c r="F201" s="86">
        <v>500.82</v>
      </c>
      <c r="G201" s="86">
        <f>F201*1</f>
        <v>500.82</v>
      </c>
      <c r="H201" s="86">
        <f t="shared" si="15"/>
        <v>90.147599999999997</v>
      </c>
      <c r="I201" s="126">
        <f t="shared" si="16"/>
        <v>590.96759999999995</v>
      </c>
      <c r="J201" s="87">
        <v>0.18</v>
      </c>
      <c r="K201" s="37"/>
    </row>
    <row r="202" spans="1:11" ht="39.75" customHeight="1">
      <c r="A202" s="318"/>
      <c r="B202" s="85">
        <v>13</v>
      </c>
      <c r="C202" s="107" t="s">
        <v>357</v>
      </c>
      <c r="D202" s="85" t="s">
        <v>25</v>
      </c>
      <c r="E202" s="85">
        <v>7130797533</v>
      </c>
      <c r="F202" s="86">
        <v>363.51</v>
      </c>
      <c r="G202" s="86">
        <f>F202*1</f>
        <v>363.51</v>
      </c>
      <c r="H202" s="86">
        <f t="shared" si="15"/>
        <v>65.431799999999996</v>
      </c>
      <c r="I202" s="126">
        <f t="shared" si="16"/>
        <v>428.9418</v>
      </c>
      <c r="J202" s="87">
        <v>0.18</v>
      </c>
      <c r="K202" s="37"/>
    </row>
    <row r="203" spans="1:11" ht="17.25" customHeight="1">
      <c r="A203" s="318"/>
      <c r="B203" s="85">
        <v>14</v>
      </c>
      <c r="C203" s="107" t="s">
        <v>358</v>
      </c>
      <c r="D203" s="85" t="s">
        <v>25</v>
      </c>
      <c r="E203" s="85">
        <v>7130390019</v>
      </c>
      <c r="F203" s="86">
        <v>24.52</v>
      </c>
      <c r="G203" s="86">
        <f>F203*1</f>
        <v>24.52</v>
      </c>
      <c r="H203" s="86">
        <f t="shared" si="15"/>
        <v>4.4135999999999997</v>
      </c>
      <c r="I203" s="126">
        <f t="shared" si="16"/>
        <v>28.933599999999998</v>
      </c>
      <c r="J203" s="87">
        <v>0.18</v>
      </c>
      <c r="K203" s="37"/>
    </row>
    <row r="204" spans="1:11" ht="18" customHeight="1">
      <c r="A204" s="318"/>
      <c r="B204" s="83">
        <v>15</v>
      </c>
      <c r="C204" s="84" t="s">
        <v>359</v>
      </c>
      <c r="D204" s="83" t="s">
        <v>5</v>
      </c>
      <c r="E204" s="97">
        <v>7130390006</v>
      </c>
      <c r="F204" s="86">
        <v>95.06</v>
      </c>
      <c r="G204" s="86">
        <f>F204*1.068</f>
        <v>101.52408000000001</v>
      </c>
      <c r="H204" s="86">
        <f t="shared" si="15"/>
        <v>18.274334400000001</v>
      </c>
      <c r="I204" s="126">
        <f t="shared" si="16"/>
        <v>119.79841440000001</v>
      </c>
      <c r="J204" s="87">
        <v>0.18</v>
      </c>
      <c r="K204" s="37"/>
    </row>
    <row r="205" spans="1:11" ht="30" customHeight="1">
      <c r="A205" s="318"/>
      <c r="B205" s="85">
        <v>16</v>
      </c>
      <c r="C205" s="107" t="s">
        <v>360</v>
      </c>
      <c r="D205" s="85" t="s">
        <v>60</v>
      </c>
      <c r="E205" s="85">
        <v>7130320053</v>
      </c>
      <c r="F205" s="86">
        <v>4.54</v>
      </c>
      <c r="G205" s="86">
        <f>F205*1.005</f>
        <v>4.5626999999999995</v>
      </c>
      <c r="H205" s="86">
        <f t="shared" si="15"/>
        <v>0.82128599999999985</v>
      </c>
      <c r="I205" s="126">
        <f t="shared" si="16"/>
        <v>5.3839859999999993</v>
      </c>
      <c r="J205" s="87">
        <v>0.18</v>
      </c>
      <c r="K205" s="37"/>
    </row>
    <row r="206" spans="1:11" ht="20.25" customHeight="1">
      <c r="A206" s="318"/>
      <c r="B206" s="85">
        <v>17</v>
      </c>
      <c r="C206" s="135" t="s">
        <v>361</v>
      </c>
      <c r="D206" s="152" t="s">
        <v>2</v>
      </c>
      <c r="E206" s="85">
        <v>7130810077</v>
      </c>
      <c r="F206" s="86">
        <v>343.35</v>
      </c>
      <c r="G206" s="86">
        <f>F206*1.071</f>
        <v>367.72784999999999</v>
      </c>
      <c r="H206" s="86">
        <f t="shared" si="15"/>
        <v>66.191012999999998</v>
      </c>
      <c r="I206" s="126">
        <f t="shared" si="16"/>
        <v>433.91886299999999</v>
      </c>
      <c r="J206" s="87">
        <v>0.18</v>
      </c>
      <c r="K206" s="37"/>
    </row>
    <row r="207" spans="1:11" ht="21" customHeight="1">
      <c r="A207" s="319"/>
      <c r="B207" s="85">
        <v>18</v>
      </c>
      <c r="C207" s="153" t="s">
        <v>362</v>
      </c>
      <c r="D207" s="152" t="s">
        <v>2</v>
      </c>
      <c r="E207" s="85">
        <v>7130893004</v>
      </c>
      <c r="F207" s="86">
        <v>139.88</v>
      </c>
      <c r="G207" s="86">
        <f>F207*1.071</f>
        <v>149.81147999999999</v>
      </c>
      <c r="H207" s="86">
        <f t="shared" si="15"/>
        <v>26.966066399999995</v>
      </c>
      <c r="I207" s="126">
        <f t="shared" si="16"/>
        <v>176.77754639999998</v>
      </c>
      <c r="J207" s="87">
        <v>0.18</v>
      </c>
      <c r="K207" s="37"/>
    </row>
    <row r="208" spans="1:11" ht="42" customHeight="1">
      <c r="A208" s="317">
        <v>47</v>
      </c>
      <c r="B208" s="89"/>
      <c r="C208" s="91" t="s">
        <v>363</v>
      </c>
      <c r="D208" s="96"/>
      <c r="E208" s="124"/>
      <c r="F208" s="96"/>
      <c r="G208" s="86"/>
      <c r="H208" s="86"/>
      <c r="I208" s="86"/>
      <c r="J208" s="193"/>
    </row>
    <row r="209" spans="1:10" ht="18.75" customHeight="1">
      <c r="A209" s="318"/>
      <c r="B209" s="85" t="s">
        <v>8</v>
      </c>
      <c r="C209" s="146" t="s">
        <v>364</v>
      </c>
      <c r="D209" s="85" t="s">
        <v>57</v>
      </c>
      <c r="E209" s="83">
        <v>7130352030</v>
      </c>
      <c r="F209" s="86">
        <v>700.32</v>
      </c>
      <c r="G209" s="86">
        <f t="shared" ref="G209:G215" si="17">F209*1</f>
        <v>700.32</v>
      </c>
      <c r="H209" s="86">
        <f t="shared" ref="H209:H215" si="18">G209*18%</f>
        <v>126.05760000000001</v>
      </c>
      <c r="I209" s="86">
        <f t="shared" ref="I209:I215" si="19">G209+H209</f>
        <v>826.37760000000003</v>
      </c>
      <c r="J209" s="87">
        <v>0.18</v>
      </c>
    </row>
    <row r="210" spans="1:10" ht="18.75" customHeight="1">
      <c r="A210" s="318"/>
      <c r="B210" s="85" t="s">
        <v>11</v>
      </c>
      <c r="C210" s="146" t="s">
        <v>365</v>
      </c>
      <c r="D210" s="85" t="s">
        <v>57</v>
      </c>
      <c r="E210" s="83">
        <v>7130352031</v>
      </c>
      <c r="F210" s="86">
        <v>700.32</v>
      </c>
      <c r="G210" s="86">
        <f t="shared" si="17"/>
        <v>700.32</v>
      </c>
      <c r="H210" s="86">
        <f t="shared" si="18"/>
        <v>126.05760000000001</v>
      </c>
      <c r="I210" s="86">
        <f t="shared" si="19"/>
        <v>826.37760000000003</v>
      </c>
      <c r="J210" s="87">
        <v>0.18</v>
      </c>
    </row>
    <row r="211" spans="1:10" ht="18.75" customHeight="1">
      <c r="A211" s="318"/>
      <c r="B211" s="85" t="s">
        <v>32</v>
      </c>
      <c r="C211" s="146" t="s">
        <v>366</v>
      </c>
      <c r="D211" s="85" t="s">
        <v>57</v>
      </c>
      <c r="E211" s="83">
        <v>7130352032</v>
      </c>
      <c r="F211" s="86">
        <v>752.09</v>
      </c>
      <c r="G211" s="86">
        <f t="shared" si="17"/>
        <v>752.09</v>
      </c>
      <c r="H211" s="86">
        <f t="shared" si="18"/>
        <v>135.37620000000001</v>
      </c>
      <c r="I211" s="86">
        <f t="shared" si="19"/>
        <v>887.46620000000007</v>
      </c>
      <c r="J211" s="87">
        <v>0.18</v>
      </c>
    </row>
    <row r="212" spans="1:10" ht="18.75" customHeight="1">
      <c r="A212" s="318"/>
      <c r="B212" s="85" t="s">
        <v>15</v>
      </c>
      <c r="C212" s="146" t="s">
        <v>367</v>
      </c>
      <c r="D212" s="85" t="s">
        <v>57</v>
      </c>
      <c r="E212" s="83">
        <v>7130352033</v>
      </c>
      <c r="F212" s="86">
        <v>1057.29</v>
      </c>
      <c r="G212" s="86">
        <f t="shared" si="17"/>
        <v>1057.29</v>
      </c>
      <c r="H212" s="86">
        <f t="shared" si="18"/>
        <v>190.31219999999999</v>
      </c>
      <c r="I212" s="86">
        <f t="shared" si="19"/>
        <v>1247.6022</v>
      </c>
      <c r="J212" s="87">
        <v>0.18</v>
      </c>
    </row>
    <row r="213" spans="1:10" ht="16.5" customHeight="1">
      <c r="A213" s="318"/>
      <c r="B213" s="85" t="s">
        <v>88</v>
      </c>
      <c r="C213" s="146" t="s">
        <v>368</v>
      </c>
      <c r="D213" s="85" t="s">
        <v>57</v>
      </c>
      <c r="E213" s="83">
        <v>7130352034</v>
      </c>
      <c r="F213" s="86">
        <v>1575.94</v>
      </c>
      <c r="G213" s="86">
        <f t="shared" si="17"/>
        <v>1575.94</v>
      </c>
      <c r="H213" s="86">
        <f t="shared" si="18"/>
        <v>283.66919999999999</v>
      </c>
      <c r="I213" s="86">
        <f t="shared" si="19"/>
        <v>1859.6092000000001</v>
      </c>
      <c r="J213" s="87">
        <v>0.18</v>
      </c>
    </row>
    <row r="214" spans="1:10" ht="16.5" customHeight="1">
      <c r="A214" s="318"/>
      <c r="B214" s="85" t="s">
        <v>108</v>
      </c>
      <c r="C214" s="146" t="s">
        <v>369</v>
      </c>
      <c r="D214" s="85" t="s">
        <v>57</v>
      </c>
      <c r="E214" s="83">
        <v>7130352035</v>
      </c>
      <c r="F214" s="86">
        <v>2546.94</v>
      </c>
      <c r="G214" s="86">
        <f t="shared" si="17"/>
        <v>2546.94</v>
      </c>
      <c r="H214" s="86">
        <f t="shared" si="18"/>
        <v>458.44920000000002</v>
      </c>
      <c r="I214" s="86">
        <f t="shared" si="19"/>
        <v>3005.3892000000001</v>
      </c>
      <c r="J214" s="87">
        <v>0.18</v>
      </c>
    </row>
    <row r="215" spans="1:10" ht="16.5" customHeight="1">
      <c r="A215" s="319"/>
      <c r="B215" s="85" t="s">
        <v>56</v>
      </c>
      <c r="C215" s="146" t="s">
        <v>370</v>
      </c>
      <c r="D215" s="85" t="s">
        <v>57</v>
      </c>
      <c r="E215" s="83">
        <v>7130352036</v>
      </c>
      <c r="F215" s="86">
        <v>3254.52</v>
      </c>
      <c r="G215" s="86">
        <f t="shared" si="17"/>
        <v>3254.52</v>
      </c>
      <c r="H215" s="86">
        <f t="shared" si="18"/>
        <v>585.81359999999995</v>
      </c>
      <c r="I215" s="86">
        <f t="shared" si="19"/>
        <v>3840.3335999999999</v>
      </c>
      <c r="J215" s="87">
        <v>0.18</v>
      </c>
    </row>
    <row r="216" spans="1:10" ht="19.5" customHeight="1">
      <c r="A216" s="322">
        <v>48</v>
      </c>
      <c r="B216" s="85"/>
      <c r="C216" s="137" t="s">
        <v>371</v>
      </c>
      <c r="D216" s="85"/>
      <c r="E216" s="154"/>
      <c r="F216" s="86"/>
      <c r="G216" s="86"/>
      <c r="H216" s="86"/>
      <c r="I216" s="86"/>
      <c r="J216" s="87"/>
    </row>
    <row r="217" spans="1:10" ht="18.75" customHeight="1">
      <c r="A217" s="322"/>
      <c r="B217" s="100" t="s">
        <v>27</v>
      </c>
      <c r="C217" s="148" t="s">
        <v>372</v>
      </c>
      <c r="D217" s="155"/>
      <c r="E217" s="156"/>
      <c r="F217" s="155"/>
      <c r="G217" s="86"/>
      <c r="H217" s="86"/>
      <c r="I217" s="86"/>
      <c r="J217" s="155"/>
    </row>
    <row r="218" spans="1:10" s="36" customFormat="1" ht="16.5" customHeight="1">
      <c r="A218" s="322"/>
      <c r="B218" s="83" t="s">
        <v>8</v>
      </c>
      <c r="C218" s="157" t="s">
        <v>308</v>
      </c>
      <c r="D218" s="85" t="s">
        <v>63</v>
      </c>
      <c r="E218" s="85">
        <v>7130310075</v>
      </c>
      <c r="F218" s="88">
        <v>1667770.55</v>
      </c>
      <c r="G218" s="86">
        <f>F218*1</f>
        <v>1667770.55</v>
      </c>
      <c r="H218" s="86">
        <f>G218*18%</f>
        <v>300198.69900000002</v>
      </c>
      <c r="I218" s="86">
        <f>G218+H218</f>
        <v>1967969.2490000001</v>
      </c>
      <c r="J218" s="87">
        <v>0.18</v>
      </c>
    </row>
    <row r="219" spans="1:10" s="36" customFormat="1" ht="17.25" customHeight="1">
      <c r="A219" s="322"/>
      <c r="B219" s="83" t="s">
        <v>11</v>
      </c>
      <c r="C219" s="157" t="s">
        <v>373</v>
      </c>
      <c r="D219" s="85" t="s">
        <v>63</v>
      </c>
      <c r="E219" s="85">
        <v>7130310020</v>
      </c>
      <c r="F219" s="88">
        <v>1822562.9</v>
      </c>
      <c r="G219" s="86">
        <f>F219*1</f>
        <v>1822562.9</v>
      </c>
      <c r="H219" s="86">
        <f>G219*18%</f>
        <v>328061.32199999999</v>
      </c>
      <c r="I219" s="86">
        <f>G219+H219</f>
        <v>2150624.2220000001</v>
      </c>
      <c r="J219" s="87">
        <v>0.18</v>
      </c>
    </row>
    <row r="220" spans="1:10" ht="15" customHeight="1">
      <c r="A220" s="322"/>
      <c r="B220" s="76" t="s">
        <v>18</v>
      </c>
      <c r="C220" s="91" t="s">
        <v>374</v>
      </c>
      <c r="D220" s="104"/>
      <c r="E220" s="158"/>
      <c r="F220" s="159"/>
      <c r="G220" s="86"/>
      <c r="H220" s="86"/>
      <c r="I220" s="86"/>
      <c r="J220" s="159"/>
    </row>
    <row r="221" spans="1:10" ht="16.5" customHeight="1">
      <c r="A221" s="322"/>
      <c r="B221" s="83" t="s">
        <v>8</v>
      </c>
      <c r="C221" s="107" t="s">
        <v>263</v>
      </c>
      <c r="D221" s="83" t="s">
        <v>63</v>
      </c>
      <c r="E221" s="85">
        <v>7130310076</v>
      </c>
      <c r="F221" s="88">
        <v>445076.83</v>
      </c>
      <c r="G221" s="86">
        <f>F221*1</f>
        <v>445076.83</v>
      </c>
      <c r="H221" s="86">
        <f>G221*18%</f>
        <v>80113.829400000002</v>
      </c>
      <c r="I221" s="86">
        <f>G221+H221</f>
        <v>525190.6594</v>
      </c>
      <c r="J221" s="87">
        <v>0.18</v>
      </c>
    </row>
    <row r="222" spans="1:10" ht="16.5" customHeight="1">
      <c r="A222" s="322"/>
      <c r="B222" s="83" t="s">
        <v>11</v>
      </c>
      <c r="C222" s="107" t="s">
        <v>375</v>
      </c>
      <c r="D222" s="83" t="s">
        <v>63</v>
      </c>
      <c r="E222" s="85">
        <v>7130310077</v>
      </c>
      <c r="F222" s="88">
        <v>450307.79</v>
      </c>
      <c r="G222" s="86">
        <f>F222*1</f>
        <v>450307.79</v>
      </c>
      <c r="H222" s="86">
        <f>G222*18%</f>
        <v>81055.402199999997</v>
      </c>
      <c r="I222" s="86">
        <f>G222+H222</f>
        <v>531363.19219999993</v>
      </c>
      <c r="J222" s="87">
        <v>0.18</v>
      </c>
    </row>
    <row r="223" spans="1:10" ht="16.5" customHeight="1">
      <c r="A223" s="322"/>
      <c r="B223" s="83" t="s">
        <v>32</v>
      </c>
      <c r="C223" s="107" t="s">
        <v>376</v>
      </c>
      <c r="D223" s="83" t="s">
        <v>63</v>
      </c>
      <c r="E223" s="85">
        <v>7130310078</v>
      </c>
      <c r="F223" s="88">
        <v>671499.66</v>
      </c>
      <c r="G223" s="86">
        <f>F223*1</f>
        <v>671499.66</v>
      </c>
      <c r="H223" s="86">
        <f>G223*18%</f>
        <v>120869.9388</v>
      </c>
      <c r="I223" s="86">
        <f>G223+H223</f>
        <v>792369.59880000004</v>
      </c>
      <c r="J223" s="87">
        <v>0.18</v>
      </c>
    </row>
    <row r="224" spans="1:10" ht="16.5" customHeight="1">
      <c r="A224" s="322"/>
      <c r="B224" s="83" t="s">
        <v>15</v>
      </c>
      <c r="C224" s="107" t="s">
        <v>377</v>
      </c>
      <c r="D224" s="83" t="s">
        <v>63</v>
      </c>
      <c r="E224" s="85">
        <v>7130310079</v>
      </c>
      <c r="F224" s="88">
        <v>813595.48</v>
      </c>
      <c r="G224" s="86">
        <f>F224*1</f>
        <v>813595.48</v>
      </c>
      <c r="H224" s="86">
        <f>G224*18%</f>
        <v>146447.18639999998</v>
      </c>
      <c r="I224" s="86">
        <f>G224+H224</f>
        <v>960042.66639999999</v>
      </c>
      <c r="J224" s="87">
        <v>0.18</v>
      </c>
    </row>
    <row r="225" spans="1:10" ht="21" customHeight="1">
      <c r="A225" s="322"/>
      <c r="B225" s="83" t="s">
        <v>88</v>
      </c>
      <c r="C225" s="107" t="s">
        <v>266</v>
      </c>
      <c r="D225" s="83" t="s">
        <v>63</v>
      </c>
      <c r="E225" s="85">
        <v>7130310080</v>
      </c>
      <c r="F225" s="88">
        <v>1253541.54</v>
      </c>
      <c r="G225" s="86">
        <f>F225*1</f>
        <v>1253541.54</v>
      </c>
      <c r="H225" s="86">
        <f>G225*18%</f>
        <v>225637.47719999999</v>
      </c>
      <c r="I225" s="86">
        <f>G225+H225</f>
        <v>1479179.0172000001</v>
      </c>
      <c r="J225" s="87">
        <v>0.18</v>
      </c>
    </row>
    <row r="226" spans="1:10" ht="18.75" customHeight="1">
      <c r="A226" s="317">
        <v>49</v>
      </c>
      <c r="B226" s="100" t="s">
        <v>27</v>
      </c>
      <c r="C226" s="77" t="s">
        <v>378</v>
      </c>
      <c r="D226" s="106"/>
      <c r="E226" s="160"/>
      <c r="F226" s="106"/>
      <c r="G226" s="86"/>
      <c r="H226" s="86"/>
      <c r="I226" s="86"/>
      <c r="J226" s="106"/>
    </row>
    <row r="227" spans="1:10" ht="30.75" customHeight="1">
      <c r="A227" s="318"/>
      <c r="B227" s="83" t="s">
        <v>8</v>
      </c>
      <c r="C227" s="107" t="s">
        <v>379</v>
      </c>
      <c r="D227" s="83" t="s">
        <v>57</v>
      </c>
      <c r="E227" s="85">
        <v>7130352037</v>
      </c>
      <c r="F227" s="88">
        <v>18344.48</v>
      </c>
      <c r="G227" s="86">
        <v>19499.2</v>
      </c>
      <c r="H227" s="86">
        <f>G227*18%</f>
        <v>3509.8560000000002</v>
      </c>
      <c r="I227" s="86">
        <f>G227+H227</f>
        <v>23009.056</v>
      </c>
      <c r="J227" s="87">
        <v>0.18</v>
      </c>
    </row>
    <row r="228" spans="1:10" ht="28.5" customHeight="1">
      <c r="A228" s="318"/>
      <c r="B228" s="83" t="s">
        <v>11</v>
      </c>
      <c r="C228" s="107" t="s">
        <v>380</v>
      </c>
      <c r="D228" s="83" t="s">
        <v>57</v>
      </c>
      <c r="E228" s="85">
        <v>7130352010</v>
      </c>
      <c r="F228" s="88">
        <v>30574.13</v>
      </c>
      <c r="G228" s="86">
        <v>28923.200000000001</v>
      </c>
      <c r="H228" s="86">
        <f>G228*18%</f>
        <v>5206.1760000000004</v>
      </c>
      <c r="I228" s="86">
        <f>G228+H228</f>
        <v>34129.376000000004</v>
      </c>
      <c r="J228" s="87">
        <v>0.18</v>
      </c>
    </row>
    <row r="229" spans="1:10" ht="30.75" customHeight="1">
      <c r="A229" s="318"/>
      <c r="B229" s="161" t="s">
        <v>18</v>
      </c>
      <c r="C229" s="137" t="s">
        <v>381</v>
      </c>
      <c r="D229" s="95"/>
      <c r="E229" s="162"/>
      <c r="F229" s="122"/>
      <c r="G229" s="86"/>
      <c r="H229" s="86"/>
      <c r="I229" s="86"/>
      <c r="J229" s="181"/>
    </row>
    <row r="230" spans="1:10" ht="29.25" customHeight="1">
      <c r="A230" s="318"/>
      <c r="B230" s="76" t="s">
        <v>283</v>
      </c>
      <c r="C230" s="91" t="s">
        <v>771</v>
      </c>
      <c r="D230" s="79"/>
      <c r="E230" s="127"/>
      <c r="F230" s="79"/>
      <c r="G230" s="86"/>
      <c r="H230" s="86"/>
      <c r="I230" s="86"/>
      <c r="J230" s="79"/>
    </row>
    <row r="231" spans="1:10" ht="18.75" customHeight="1">
      <c r="A231" s="318"/>
      <c r="B231" s="85" t="s">
        <v>8</v>
      </c>
      <c r="C231" s="146" t="s">
        <v>770</v>
      </c>
      <c r="D231" s="85" t="s">
        <v>57</v>
      </c>
      <c r="E231" s="85">
        <v>7130352038</v>
      </c>
      <c r="F231" s="88">
        <v>6866.92</v>
      </c>
      <c r="G231" s="86">
        <v>11655.6</v>
      </c>
      <c r="H231" s="86">
        <f>G231*18%</f>
        <v>2098.0079999999998</v>
      </c>
      <c r="I231" s="86">
        <f>G231+H231</f>
        <v>13753.608</v>
      </c>
      <c r="J231" s="87">
        <v>0.18</v>
      </c>
    </row>
    <row r="232" spans="1:10" ht="18.75" customHeight="1">
      <c r="A232" s="318"/>
      <c r="B232" s="85" t="s">
        <v>11</v>
      </c>
      <c r="C232" s="146" t="s">
        <v>382</v>
      </c>
      <c r="D232" s="85" t="s">
        <v>57</v>
      </c>
      <c r="E232" s="85">
        <v>7130352039</v>
      </c>
      <c r="F232" s="88">
        <v>7582.68</v>
      </c>
      <c r="G232" s="86">
        <v>11655.6</v>
      </c>
      <c r="H232" s="86">
        <f>G232*18%</f>
        <v>2098.0079999999998</v>
      </c>
      <c r="I232" s="86">
        <f>G232+H232</f>
        <v>13753.608</v>
      </c>
      <c r="J232" s="87">
        <v>0.18</v>
      </c>
    </row>
    <row r="233" spans="1:10" ht="18.75" customHeight="1">
      <c r="A233" s="318"/>
      <c r="B233" s="85" t="s">
        <v>32</v>
      </c>
      <c r="C233" s="146" t="s">
        <v>383</v>
      </c>
      <c r="D233" s="85" t="s">
        <v>57</v>
      </c>
      <c r="E233" s="85">
        <v>7130352040</v>
      </c>
      <c r="F233" s="88">
        <v>8877.94</v>
      </c>
      <c r="G233" s="86">
        <v>15432.4</v>
      </c>
      <c r="H233" s="86">
        <f>G233*18%</f>
        <v>2777.8319999999999</v>
      </c>
      <c r="I233" s="86">
        <f>G233+H233</f>
        <v>18210.232</v>
      </c>
      <c r="J233" s="87">
        <v>0.18</v>
      </c>
    </row>
    <row r="234" spans="1:10" ht="18.75" customHeight="1">
      <c r="A234" s="318"/>
      <c r="B234" s="85" t="s">
        <v>15</v>
      </c>
      <c r="C234" s="146" t="s">
        <v>384</v>
      </c>
      <c r="D234" s="85" t="s">
        <v>57</v>
      </c>
      <c r="E234" s="85">
        <v>7130352041</v>
      </c>
      <c r="F234" s="88">
        <v>9369.35</v>
      </c>
      <c r="G234" s="86">
        <v>16878</v>
      </c>
      <c r="H234" s="86">
        <f>G234*18%</f>
        <v>3038.04</v>
      </c>
      <c r="I234" s="86">
        <f>G234+H234</f>
        <v>19916.04</v>
      </c>
      <c r="J234" s="87">
        <v>0.18</v>
      </c>
    </row>
    <row r="235" spans="1:10" ht="18.75" customHeight="1">
      <c r="A235" s="318"/>
      <c r="B235" s="85" t="s">
        <v>88</v>
      </c>
      <c r="C235" s="146" t="s">
        <v>385</v>
      </c>
      <c r="D235" s="85" t="s">
        <v>57</v>
      </c>
      <c r="E235" s="85">
        <v>7130352042</v>
      </c>
      <c r="F235" s="88">
        <v>9586.44</v>
      </c>
      <c r="G235" s="86">
        <v>16878</v>
      </c>
      <c r="H235" s="86">
        <f>G235*18%</f>
        <v>3038.04</v>
      </c>
      <c r="I235" s="86">
        <f>G235+H235</f>
        <v>19916.04</v>
      </c>
      <c r="J235" s="87">
        <v>0.18</v>
      </c>
    </row>
    <row r="236" spans="1:10" ht="31.5" customHeight="1">
      <c r="A236" s="318"/>
      <c r="B236" s="76" t="s">
        <v>295</v>
      </c>
      <c r="C236" s="91" t="s">
        <v>772</v>
      </c>
      <c r="D236" s="79"/>
      <c r="E236" s="127"/>
      <c r="F236" s="79"/>
      <c r="G236" s="86"/>
      <c r="H236" s="86"/>
      <c r="I236" s="86"/>
      <c r="J236" s="79"/>
    </row>
    <row r="237" spans="1:10" ht="16.5" customHeight="1">
      <c r="A237" s="318"/>
      <c r="B237" s="85" t="s">
        <v>8</v>
      </c>
      <c r="C237" s="146" t="s">
        <v>382</v>
      </c>
      <c r="D237" s="85" t="s">
        <v>57</v>
      </c>
      <c r="E237" s="85">
        <v>7130352043</v>
      </c>
      <c r="F237" s="88">
        <v>2096.41</v>
      </c>
      <c r="G237" s="86">
        <v>6058.8</v>
      </c>
      <c r="H237" s="86">
        <f>G237*18%</f>
        <v>1090.5840000000001</v>
      </c>
      <c r="I237" s="86">
        <f>G237+H237</f>
        <v>7149.384</v>
      </c>
      <c r="J237" s="87">
        <v>0.18</v>
      </c>
    </row>
    <row r="238" spans="1:10" ht="19.5" customHeight="1">
      <c r="A238" s="318"/>
      <c r="B238" s="85" t="s">
        <v>11</v>
      </c>
      <c r="C238" s="146" t="s">
        <v>384</v>
      </c>
      <c r="D238" s="85" t="s">
        <v>57</v>
      </c>
      <c r="E238" s="85">
        <v>7130352044</v>
      </c>
      <c r="F238" s="88">
        <v>2231.75</v>
      </c>
      <c r="G238" s="86">
        <v>7314</v>
      </c>
      <c r="H238" s="86">
        <f>G238*18%</f>
        <v>1316.52</v>
      </c>
      <c r="I238" s="86">
        <f>G238+H238</f>
        <v>8630.52</v>
      </c>
      <c r="J238" s="87">
        <v>0.18</v>
      </c>
    </row>
    <row r="239" spans="1:10" ht="19.5" customHeight="1">
      <c r="A239" s="319"/>
      <c r="B239" s="85" t="s">
        <v>32</v>
      </c>
      <c r="C239" s="146" t="s">
        <v>385</v>
      </c>
      <c r="D239" s="85" t="s">
        <v>57</v>
      </c>
      <c r="E239" s="85">
        <v>7130352045</v>
      </c>
      <c r="F239" s="88">
        <v>2291.6999999999998</v>
      </c>
      <c r="G239" s="86">
        <v>7524.4</v>
      </c>
      <c r="H239" s="86">
        <f>G239*18%</f>
        <v>1354.3919999999998</v>
      </c>
      <c r="I239" s="86">
        <f>G239+H239</f>
        <v>8878.7919999999995</v>
      </c>
      <c r="J239" s="87">
        <v>0.18</v>
      </c>
    </row>
    <row r="240" spans="1:10" ht="32.25" customHeight="1">
      <c r="A240" s="83">
        <v>51</v>
      </c>
      <c r="B240" s="83"/>
      <c r="C240" s="84" t="s">
        <v>764</v>
      </c>
      <c r="D240" s="83" t="s">
        <v>2</v>
      </c>
      <c r="E240" s="97">
        <v>7130352046</v>
      </c>
      <c r="F240" s="88">
        <v>2573.16</v>
      </c>
      <c r="G240" s="86">
        <f>F240*1</f>
        <v>2573.16</v>
      </c>
      <c r="H240" s="86">
        <f>G240*18%</f>
        <v>463.16879999999998</v>
      </c>
      <c r="I240" s="86">
        <f>G240+H240</f>
        <v>3036.3287999999998</v>
      </c>
      <c r="J240" s="87">
        <v>0.18</v>
      </c>
    </row>
    <row r="241" spans="1:11" ht="18.75" customHeight="1">
      <c r="A241" s="317">
        <v>62</v>
      </c>
      <c r="B241" s="100" t="s">
        <v>27</v>
      </c>
      <c r="C241" s="91" t="s">
        <v>37</v>
      </c>
      <c r="D241" s="79"/>
      <c r="E241" s="127"/>
      <c r="F241" s="79"/>
      <c r="G241" s="86"/>
      <c r="H241" s="86"/>
      <c r="I241" s="86"/>
      <c r="J241" s="79"/>
      <c r="K241" s="37"/>
    </row>
    <row r="242" spans="1:11" ht="18.75" customHeight="1">
      <c r="A242" s="318"/>
      <c r="B242" s="83" t="s">
        <v>8</v>
      </c>
      <c r="C242" s="84" t="s">
        <v>38</v>
      </c>
      <c r="D242" s="83" t="s">
        <v>5</v>
      </c>
      <c r="E242" s="97">
        <v>7131900876</v>
      </c>
      <c r="F242" s="86">
        <v>251.83</v>
      </c>
      <c r="G242" s="86">
        <f>F242*0.994</f>
        <v>250.31902000000002</v>
      </c>
      <c r="H242" s="86">
        <f>G242*18%</f>
        <v>45.0574236</v>
      </c>
      <c r="I242" s="86">
        <f>G242+H242</f>
        <v>295.37644360000002</v>
      </c>
      <c r="J242" s="87">
        <v>0.18</v>
      </c>
      <c r="K242" s="37"/>
    </row>
    <row r="243" spans="1:11" ht="21.75" customHeight="1">
      <c r="A243" s="318"/>
      <c r="B243" s="83" t="s">
        <v>11</v>
      </c>
      <c r="C243" s="84" t="s">
        <v>435</v>
      </c>
      <c r="D243" s="83" t="s">
        <v>5</v>
      </c>
      <c r="E243" s="97">
        <v>7131900880</v>
      </c>
      <c r="F243" s="86">
        <v>632.75</v>
      </c>
      <c r="G243" s="86">
        <f>F243*0.994</f>
        <v>628.95349999999996</v>
      </c>
      <c r="H243" s="86">
        <f>G243*18%</f>
        <v>113.21162999999999</v>
      </c>
      <c r="I243" s="86">
        <f>G243+H243</f>
        <v>742.16512999999998</v>
      </c>
      <c r="J243" s="87">
        <v>0.18</v>
      </c>
      <c r="K243" s="37"/>
    </row>
    <row r="244" spans="1:11" ht="20.25" customHeight="1">
      <c r="A244" s="318"/>
      <c r="B244" s="83" t="s">
        <v>32</v>
      </c>
      <c r="C244" s="84" t="s">
        <v>247</v>
      </c>
      <c r="D244" s="83" t="s">
        <v>5</v>
      </c>
      <c r="E244" s="97">
        <v>7131900881</v>
      </c>
      <c r="F244" s="86">
        <v>700.03</v>
      </c>
      <c r="G244" s="86">
        <f>F244*0.994</f>
        <v>695.82981999999993</v>
      </c>
      <c r="H244" s="86">
        <f>G244*18%</f>
        <v>125.24936759999999</v>
      </c>
      <c r="I244" s="86">
        <f>G244+H244</f>
        <v>821.07918759999995</v>
      </c>
      <c r="J244" s="87">
        <v>0.18</v>
      </c>
      <c r="K244" s="37"/>
    </row>
    <row r="245" spans="1:11" ht="18.75" customHeight="1">
      <c r="A245" s="318"/>
      <c r="B245" s="100" t="s">
        <v>18</v>
      </c>
      <c r="C245" s="91" t="s">
        <v>39</v>
      </c>
      <c r="D245" s="96"/>
      <c r="E245" s="124"/>
      <c r="F245" s="96"/>
      <c r="G245" s="86"/>
      <c r="H245" s="86"/>
      <c r="I245" s="86"/>
      <c r="J245" s="87"/>
      <c r="K245" s="37"/>
    </row>
    <row r="246" spans="1:11" ht="21" customHeight="1">
      <c r="A246" s="318"/>
      <c r="B246" s="83" t="s">
        <v>8</v>
      </c>
      <c r="C246" s="84" t="s">
        <v>38</v>
      </c>
      <c r="D246" s="83" t="s">
        <v>5</v>
      </c>
      <c r="E246" s="83">
        <v>7131900876</v>
      </c>
      <c r="F246" s="86">
        <v>98.19</v>
      </c>
      <c r="G246" s="86">
        <f>F246*0.994</f>
        <v>97.600859999999997</v>
      </c>
      <c r="H246" s="86">
        <f t="shared" ref="H246:H252" si="20">G246*18%</f>
        <v>17.568154799999999</v>
      </c>
      <c r="I246" s="86">
        <f t="shared" ref="I246:I252" si="21">G246+H246</f>
        <v>115.1690148</v>
      </c>
      <c r="J246" s="87">
        <v>0.18</v>
      </c>
      <c r="K246" s="37"/>
    </row>
    <row r="247" spans="1:11" ht="18" customHeight="1">
      <c r="A247" s="318"/>
      <c r="B247" s="83" t="s">
        <v>11</v>
      </c>
      <c r="C247" s="84" t="s">
        <v>435</v>
      </c>
      <c r="D247" s="83" t="s">
        <v>5</v>
      </c>
      <c r="E247" s="83">
        <v>7131900071</v>
      </c>
      <c r="F247" s="86">
        <v>255.46</v>
      </c>
      <c r="G247" s="86">
        <f>F247*0.994</f>
        <v>253.92724000000001</v>
      </c>
      <c r="H247" s="86">
        <f t="shared" si="20"/>
        <v>45.706903199999999</v>
      </c>
      <c r="I247" s="86">
        <f t="shared" si="21"/>
        <v>299.63414320000004</v>
      </c>
      <c r="J247" s="87">
        <v>0.18</v>
      </c>
      <c r="K247" s="37"/>
    </row>
    <row r="248" spans="1:11" ht="18.75" customHeight="1">
      <c r="A248" s="319"/>
      <c r="B248" s="83" t="s">
        <v>32</v>
      </c>
      <c r="C248" s="84" t="s">
        <v>247</v>
      </c>
      <c r="D248" s="83" t="s">
        <v>5</v>
      </c>
      <c r="E248" s="83">
        <v>7131900072</v>
      </c>
      <c r="F248" s="86">
        <v>392.74</v>
      </c>
      <c r="G248" s="86">
        <f>F248*0.994</f>
        <v>390.38355999999999</v>
      </c>
      <c r="H248" s="86">
        <f t="shared" si="20"/>
        <v>70.269040799999999</v>
      </c>
      <c r="I248" s="86">
        <f t="shared" si="21"/>
        <v>460.65260079999996</v>
      </c>
      <c r="J248" s="87">
        <v>0.18</v>
      </c>
      <c r="K248" s="37"/>
    </row>
    <row r="249" spans="1:11" s="23" customFormat="1" ht="28.5" customHeight="1">
      <c r="A249" s="317">
        <v>64</v>
      </c>
      <c r="B249" s="83"/>
      <c r="C249" s="77" t="s">
        <v>438</v>
      </c>
      <c r="D249" s="83"/>
      <c r="E249" s="83"/>
      <c r="F249" s="86"/>
      <c r="G249" s="86"/>
      <c r="H249" s="86"/>
      <c r="I249" s="86"/>
      <c r="J249" s="87"/>
      <c r="K249" s="37"/>
    </row>
    <row r="250" spans="1:11" s="23" customFormat="1" ht="45" customHeight="1">
      <c r="A250" s="319"/>
      <c r="B250" s="83" t="s">
        <v>15</v>
      </c>
      <c r="C250" s="84" t="s">
        <v>442</v>
      </c>
      <c r="D250" s="83" t="s">
        <v>5</v>
      </c>
      <c r="E250" s="97">
        <v>7131310015</v>
      </c>
      <c r="F250" s="86">
        <f>10062.97+71.63</f>
        <v>10134.599999999999</v>
      </c>
      <c r="G250" s="86">
        <f>F250*1</f>
        <v>10134.599999999999</v>
      </c>
      <c r="H250" s="86">
        <f>G250*18%</f>
        <v>1824.2279999999996</v>
      </c>
      <c r="I250" s="86">
        <f>G250+H250</f>
        <v>11958.827999999998</v>
      </c>
      <c r="J250" s="87">
        <v>0.18</v>
      </c>
      <c r="K250" s="37"/>
    </row>
    <row r="251" spans="1:11" s="23" customFormat="1" ht="18.75" customHeight="1">
      <c r="A251" s="317">
        <v>65</v>
      </c>
      <c r="B251" s="83"/>
      <c r="C251" s="77" t="s">
        <v>443</v>
      </c>
      <c r="D251" s="83"/>
      <c r="E251" s="97"/>
      <c r="F251" s="86"/>
      <c r="G251" s="86"/>
      <c r="H251" s="86"/>
      <c r="I251" s="86"/>
      <c r="J251" s="87"/>
      <c r="K251" s="37"/>
    </row>
    <row r="252" spans="1:11" ht="18" customHeight="1">
      <c r="A252" s="318"/>
      <c r="B252" s="83" t="s">
        <v>108</v>
      </c>
      <c r="C252" s="84" t="s">
        <v>450</v>
      </c>
      <c r="D252" s="83" t="s">
        <v>5</v>
      </c>
      <c r="E252" s="83">
        <v>7131310037</v>
      </c>
      <c r="F252" s="88">
        <v>758.45</v>
      </c>
      <c r="G252" s="86">
        <f>F252*1</f>
        <v>758.45</v>
      </c>
      <c r="H252" s="86">
        <f t="shared" si="20"/>
        <v>136.52100000000002</v>
      </c>
      <c r="I252" s="86">
        <f t="shared" si="21"/>
        <v>894.971</v>
      </c>
      <c r="J252" s="87">
        <v>0.18</v>
      </c>
      <c r="K252" s="37"/>
    </row>
    <row r="253" spans="1:11" ht="28.5" customHeight="1">
      <c r="A253" s="320">
        <v>67</v>
      </c>
      <c r="B253" s="104"/>
      <c r="C253" s="103" t="s">
        <v>455</v>
      </c>
      <c r="D253" s="79"/>
      <c r="E253" s="127"/>
      <c r="F253" s="79"/>
      <c r="G253" s="86"/>
      <c r="H253" s="86"/>
      <c r="I253" s="86"/>
      <c r="J253" s="194"/>
      <c r="K253" s="37"/>
    </row>
    <row r="254" spans="1:11" ht="20.25" customHeight="1">
      <c r="A254" s="321"/>
      <c r="B254" s="83" t="s">
        <v>8</v>
      </c>
      <c r="C254" s="135" t="s">
        <v>456</v>
      </c>
      <c r="D254" s="152" t="s">
        <v>60</v>
      </c>
      <c r="E254" s="132"/>
      <c r="F254" s="85">
        <v>9353.3799999999992</v>
      </c>
      <c r="G254" s="92" t="s">
        <v>707</v>
      </c>
      <c r="H254" s="86"/>
      <c r="I254" s="92" t="s">
        <v>707</v>
      </c>
      <c r="J254" s="181"/>
      <c r="K254" s="37"/>
    </row>
    <row r="255" spans="1:11" ht="20.25" customHeight="1">
      <c r="A255" s="326"/>
      <c r="B255" s="83" t="s">
        <v>11</v>
      </c>
      <c r="C255" s="135" t="s">
        <v>457</v>
      </c>
      <c r="D255" s="152" t="s">
        <v>60</v>
      </c>
      <c r="E255" s="132"/>
      <c r="F255" s="85">
        <v>11792.59</v>
      </c>
      <c r="G255" s="92" t="s">
        <v>707</v>
      </c>
      <c r="H255" s="86"/>
      <c r="I255" s="92" t="s">
        <v>707</v>
      </c>
      <c r="J255" s="181"/>
      <c r="K255" s="37"/>
    </row>
    <row r="256" spans="1:11" ht="18.75" customHeight="1">
      <c r="A256" s="320">
        <v>70</v>
      </c>
      <c r="B256" s="95"/>
      <c r="C256" s="103" t="s">
        <v>694</v>
      </c>
      <c r="D256" s="131"/>
      <c r="E256" s="132"/>
      <c r="F256" s="89"/>
      <c r="G256" s="138"/>
      <c r="H256" s="86"/>
      <c r="I256" s="138"/>
      <c r="J256" s="195"/>
      <c r="K256" s="37"/>
    </row>
    <row r="257" spans="1:12" ht="30" customHeight="1">
      <c r="A257" s="321"/>
      <c r="B257" s="83" t="s">
        <v>8</v>
      </c>
      <c r="C257" s="84" t="s">
        <v>460</v>
      </c>
      <c r="D257" s="83" t="s">
        <v>5</v>
      </c>
      <c r="E257" s="83">
        <v>7131329275</v>
      </c>
      <c r="F257" s="86">
        <v>5220</v>
      </c>
      <c r="G257" s="86">
        <f>F257*1</f>
        <v>5220</v>
      </c>
      <c r="H257" s="86">
        <f>G257*18%</f>
        <v>939.59999999999991</v>
      </c>
      <c r="I257" s="86">
        <f>G257+H257</f>
        <v>6159.6</v>
      </c>
      <c r="J257" s="87">
        <v>0.18</v>
      </c>
      <c r="K257" s="37"/>
    </row>
    <row r="258" spans="1:12" ht="30.75" customHeight="1">
      <c r="A258" s="326"/>
      <c r="B258" s="83" t="s">
        <v>88</v>
      </c>
      <c r="C258" s="135" t="s">
        <v>464</v>
      </c>
      <c r="D258" s="152" t="s">
        <v>25</v>
      </c>
      <c r="E258" s="163"/>
      <c r="F258" s="86">
        <v>8824.4</v>
      </c>
      <c r="G258" s="92" t="s">
        <v>707</v>
      </c>
      <c r="H258" s="86"/>
      <c r="I258" s="92" t="s">
        <v>707</v>
      </c>
      <c r="J258" s="181"/>
      <c r="K258" s="37"/>
    </row>
    <row r="259" spans="1:12" ht="18.75" customHeight="1">
      <c r="A259" s="317">
        <v>71</v>
      </c>
      <c r="B259" s="95"/>
      <c r="C259" s="91" t="s">
        <v>465</v>
      </c>
      <c r="D259" s="96"/>
      <c r="E259" s="129"/>
      <c r="F259" s="96"/>
      <c r="G259" s="86"/>
      <c r="H259" s="86"/>
      <c r="I259" s="86"/>
      <c r="J259" s="96"/>
      <c r="K259" s="37"/>
    </row>
    <row r="260" spans="1:12" ht="19.5" customHeight="1">
      <c r="A260" s="318"/>
      <c r="B260" s="83" t="s">
        <v>8</v>
      </c>
      <c r="C260" s="84" t="s">
        <v>466</v>
      </c>
      <c r="D260" s="83" t="s">
        <v>5</v>
      </c>
      <c r="E260" s="97">
        <v>7132230016</v>
      </c>
      <c r="F260" s="88">
        <v>292.43</v>
      </c>
      <c r="G260" s="86">
        <f>F260*1</f>
        <v>292.43</v>
      </c>
      <c r="H260" s="86">
        <f>G260*18%</f>
        <v>52.6374</v>
      </c>
      <c r="I260" s="86">
        <f>G260+H260</f>
        <v>345.06740000000002</v>
      </c>
      <c r="J260" s="87">
        <v>0.18</v>
      </c>
      <c r="K260" s="37"/>
    </row>
    <row r="261" spans="1:12" ht="19.5" customHeight="1">
      <c r="A261" s="318"/>
      <c r="B261" s="83" t="s">
        <v>11</v>
      </c>
      <c r="C261" s="84" t="s">
        <v>467</v>
      </c>
      <c r="D261" s="83" t="s">
        <v>5</v>
      </c>
      <c r="E261" s="97">
        <v>7132230019</v>
      </c>
      <c r="F261" s="88">
        <v>292.43</v>
      </c>
      <c r="G261" s="86">
        <f>F261*1</f>
        <v>292.43</v>
      </c>
      <c r="H261" s="86">
        <f>G261*18%</f>
        <v>52.6374</v>
      </c>
      <c r="I261" s="86">
        <f>G261+H261</f>
        <v>345.06740000000002</v>
      </c>
      <c r="J261" s="87">
        <v>0.18</v>
      </c>
      <c r="K261" s="37"/>
    </row>
    <row r="262" spans="1:12" ht="19.5" customHeight="1">
      <c r="A262" s="318"/>
      <c r="B262" s="83" t="s">
        <v>32</v>
      </c>
      <c r="C262" s="84" t="s">
        <v>468</v>
      </c>
      <c r="D262" s="83" t="s">
        <v>5</v>
      </c>
      <c r="E262" s="97">
        <v>7132230021</v>
      </c>
      <c r="F262" s="88">
        <v>234.13</v>
      </c>
      <c r="G262" s="86">
        <f>F262*1</f>
        <v>234.13</v>
      </c>
      <c r="H262" s="86">
        <f>G262*18%</f>
        <v>42.1434</v>
      </c>
      <c r="I262" s="86">
        <f>G262+H262</f>
        <v>276.27339999999998</v>
      </c>
      <c r="J262" s="87">
        <v>0.18</v>
      </c>
      <c r="K262" s="37"/>
    </row>
    <row r="263" spans="1:12" ht="19.5" customHeight="1">
      <c r="A263" s="319"/>
      <c r="B263" s="83" t="s">
        <v>15</v>
      </c>
      <c r="C263" s="84" t="s">
        <v>469</v>
      </c>
      <c r="D263" s="83" t="s">
        <v>5</v>
      </c>
      <c r="E263" s="97">
        <v>7132230024</v>
      </c>
      <c r="F263" s="88">
        <v>234.13</v>
      </c>
      <c r="G263" s="86">
        <f>F263*1</f>
        <v>234.13</v>
      </c>
      <c r="H263" s="86">
        <f>G263*18%</f>
        <v>42.1434</v>
      </c>
      <c r="I263" s="86">
        <f>G263+H263</f>
        <v>276.27339999999998</v>
      </c>
      <c r="J263" s="87">
        <v>0.18</v>
      </c>
      <c r="K263" s="37"/>
    </row>
    <row r="264" spans="1:12" ht="18.75" customHeight="1">
      <c r="A264" s="317">
        <v>73</v>
      </c>
      <c r="B264" s="95"/>
      <c r="C264" s="137" t="s">
        <v>473</v>
      </c>
      <c r="D264" s="95"/>
      <c r="E264" s="123"/>
      <c r="F264" s="122"/>
      <c r="G264" s="86"/>
      <c r="H264" s="86"/>
      <c r="I264" s="86"/>
      <c r="J264" s="181"/>
      <c r="K264" s="37"/>
    </row>
    <row r="265" spans="1:12" ht="17.25" customHeight="1">
      <c r="A265" s="318"/>
      <c r="B265" s="83" t="s">
        <v>125</v>
      </c>
      <c r="C265" s="84" t="s">
        <v>474</v>
      </c>
      <c r="D265" s="83" t="s">
        <v>5</v>
      </c>
      <c r="E265" s="83">
        <v>7132230043</v>
      </c>
      <c r="F265" s="164">
        <v>17050.7</v>
      </c>
      <c r="G265" s="86">
        <f>F265*1.2128</f>
        <v>20679.088960000001</v>
      </c>
      <c r="H265" s="86">
        <f>G265*18%</f>
        <v>3722.2360128</v>
      </c>
      <c r="I265" s="86">
        <f>G265+H265</f>
        <v>24401.324972800001</v>
      </c>
      <c r="J265" s="87">
        <v>0.18</v>
      </c>
      <c r="K265" s="37"/>
    </row>
    <row r="266" spans="1:12" ht="18" customHeight="1">
      <c r="A266" s="318"/>
      <c r="B266" s="83" t="s">
        <v>128</v>
      </c>
      <c r="C266" s="84" t="s">
        <v>475</v>
      </c>
      <c r="D266" s="83" t="s">
        <v>5</v>
      </c>
      <c r="E266" s="97">
        <v>7132230263</v>
      </c>
      <c r="F266" s="88">
        <v>17725.939999999999</v>
      </c>
      <c r="G266" s="86">
        <f>F266*1.2128</f>
        <v>21498.020032</v>
      </c>
      <c r="H266" s="86">
        <f>G266*18%</f>
        <v>3869.6436057599999</v>
      </c>
      <c r="I266" s="86">
        <f>G266+H266</f>
        <v>25367.663637760001</v>
      </c>
      <c r="J266" s="87">
        <v>0.18</v>
      </c>
      <c r="K266" s="37"/>
    </row>
    <row r="267" spans="1:12" ht="20.25" customHeight="1">
      <c r="A267" s="319"/>
      <c r="B267" s="83" t="s">
        <v>307</v>
      </c>
      <c r="C267" s="84" t="s">
        <v>477</v>
      </c>
      <c r="D267" s="83" t="s">
        <v>5</v>
      </c>
      <c r="E267" s="97">
        <v>7132230304</v>
      </c>
      <c r="F267" s="88">
        <v>13502.64</v>
      </c>
      <c r="G267" s="92" t="s">
        <v>707</v>
      </c>
      <c r="H267" s="86"/>
      <c r="I267" s="92" t="s">
        <v>707</v>
      </c>
      <c r="J267" s="181"/>
      <c r="K267" s="37"/>
    </row>
    <row r="268" spans="1:12" ht="21" customHeight="1">
      <c r="A268" s="85">
        <v>76</v>
      </c>
      <c r="B268" s="165"/>
      <c r="C268" s="135" t="s">
        <v>486</v>
      </c>
      <c r="D268" s="152" t="s">
        <v>60</v>
      </c>
      <c r="E268" s="97">
        <v>7132230473</v>
      </c>
      <c r="F268" s="88">
        <v>21010.89</v>
      </c>
      <c r="G268" s="92" t="s">
        <v>707</v>
      </c>
      <c r="H268" s="86"/>
      <c r="I268" s="92" t="s">
        <v>707</v>
      </c>
      <c r="J268" s="181"/>
      <c r="K268" s="63" t="s">
        <v>709</v>
      </c>
      <c r="L268" s="64"/>
    </row>
    <row r="269" spans="1:12" ht="31.5" customHeight="1">
      <c r="A269" s="317">
        <v>81</v>
      </c>
      <c r="B269" s="100" t="s">
        <v>27</v>
      </c>
      <c r="C269" s="91" t="s">
        <v>491</v>
      </c>
      <c r="D269" s="79"/>
      <c r="E269" s="79"/>
      <c r="F269" s="79"/>
      <c r="G269" s="79"/>
      <c r="H269" s="86"/>
      <c r="I269" s="126"/>
      <c r="J269" s="79"/>
    </row>
    <row r="270" spans="1:12" ht="21" customHeight="1">
      <c r="A270" s="318"/>
      <c r="B270" s="83" t="s">
        <v>8</v>
      </c>
      <c r="C270" s="84" t="s">
        <v>492</v>
      </c>
      <c r="D270" s="83" t="s">
        <v>5</v>
      </c>
      <c r="E270" s="97">
        <v>7132230394</v>
      </c>
      <c r="F270" s="86">
        <v>34029.660000000003</v>
      </c>
      <c r="G270" s="92" t="s">
        <v>707</v>
      </c>
      <c r="H270" s="86"/>
      <c r="I270" s="92" t="s">
        <v>707</v>
      </c>
      <c r="J270" s="181"/>
    </row>
    <row r="271" spans="1:12" ht="21" customHeight="1">
      <c r="A271" s="318"/>
      <c r="B271" s="83" t="s">
        <v>32</v>
      </c>
      <c r="C271" s="84" t="s">
        <v>494</v>
      </c>
      <c r="D271" s="83" t="s">
        <v>5</v>
      </c>
      <c r="E271" s="97">
        <v>7132230396</v>
      </c>
      <c r="F271" s="86">
        <v>31288.95</v>
      </c>
      <c r="G271" s="92" t="s">
        <v>707</v>
      </c>
      <c r="H271" s="86"/>
      <c r="I271" s="92" t="s">
        <v>707</v>
      </c>
      <c r="J271" s="181"/>
    </row>
    <row r="272" spans="1:12" ht="16.5" customHeight="1">
      <c r="A272" s="318"/>
      <c r="B272" s="83" t="s">
        <v>88</v>
      </c>
      <c r="C272" s="84" t="s">
        <v>496</v>
      </c>
      <c r="D272" s="83" t="s">
        <v>5</v>
      </c>
      <c r="E272" s="97">
        <v>7132230414</v>
      </c>
      <c r="F272" s="86">
        <v>30120.720000000001</v>
      </c>
      <c r="G272" s="86">
        <f>F272*1.0589</f>
        <v>31894.830407999998</v>
      </c>
      <c r="H272" s="86">
        <f>G272*18%</f>
        <v>5741.0694734399995</v>
      </c>
      <c r="I272" s="126">
        <f>G272+H272</f>
        <v>37635.899881439997</v>
      </c>
      <c r="J272" s="87">
        <v>0.18</v>
      </c>
      <c r="K272" s="196"/>
    </row>
    <row r="273" spans="1:11" ht="18.75" customHeight="1">
      <c r="A273" s="318"/>
      <c r="B273" s="83" t="s">
        <v>108</v>
      </c>
      <c r="C273" s="84" t="s">
        <v>497</v>
      </c>
      <c r="D273" s="83" t="s">
        <v>5</v>
      </c>
      <c r="E273" s="97">
        <v>7132230406</v>
      </c>
      <c r="F273" s="86">
        <v>30120.720000000001</v>
      </c>
      <c r="G273" s="92" t="s">
        <v>707</v>
      </c>
      <c r="H273" s="86"/>
      <c r="I273" s="92" t="s">
        <v>707</v>
      </c>
      <c r="J273" s="87"/>
      <c r="K273" s="197"/>
    </row>
    <row r="274" spans="1:11" ht="20.25" customHeight="1">
      <c r="A274" s="318"/>
      <c r="B274" s="83" t="s">
        <v>56</v>
      </c>
      <c r="C274" s="84" t="s">
        <v>498</v>
      </c>
      <c r="D274" s="83" t="s">
        <v>5</v>
      </c>
      <c r="E274" s="97">
        <v>7132230399</v>
      </c>
      <c r="F274" s="88">
        <v>29529.08</v>
      </c>
      <c r="G274" s="86">
        <f>F274*1.0589</f>
        <v>31268.342811999999</v>
      </c>
      <c r="H274" s="86">
        <f>G274*18%</f>
        <v>5628.3017061599994</v>
      </c>
      <c r="I274" s="86">
        <f>G274+H274</f>
        <v>36896.644518159999</v>
      </c>
      <c r="J274" s="87">
        <v>0.18</v>
      </c>
      <c r="K274" s="37"/>
    </row>
    <row r="275" spans="1:11" ht="20.25" customHeight="1">
      <c r="A275" s="318"/>
      <c r="B275" s="83" t="s">
        <v>180</v>
      </c>
      <c r="C275" s="84" t="s">
        <v>499</v>
      </c>
      <c r="D275" s="83" t="s">
        <v>5</v>
      </c>
      <c r="E275" s="97">
        <v>7132230410</v>
      </c>
      <c r="F275" s="86">
        <v>31233.64</v>
      </c>
      <c r="G275" s="92" t="s">
        <v>707</v>
      </c>
      <c r="H275" s="86"/>
      <c r="I275" s="92" t="s">
        <v>707</v>
      </c>
      <c r="J275" s="87"/>
      <c r="K275" s="197"/>
    </row>
    <row r="276" spans="1:11" ht="18" customHeight="1">
      <c r="A276" s="318"/>
      <c r="B276" s="83" t="s">
        <v>218</v>
      </c>
      <c r="C276" s="84" t="s">
        <v>500</v>
      </c>
      <c r="D276" s="83" t="s">
        <v>5</v>
      </c>
      <c r="E276" s="97">
        <v>7132230412</v>
      </c>
      <c r="F276" s="88">
        <v>29199.95</v>
      </c>
      <c r="G276" s="86">
        <f>F276*1.0589</f>
        <v>30919.827054999998</v>
      </c>
      <c r="H276" s="86">
        <f>G276*18%</f>
        <v>5565.5688698999993</v>
      </c>
      <c r="I276" s="86">
        <f>G276+H276</f>
        <v>36485.395924899996</v>
      </c>
      <c r="J276" s="87">
        <v>0.18</v>
      </c>
      <c r="K276" s="37"/>
    </row>
    <row r="277" spans="1:11" ht="18.75" customHeight="1">
      <c r="A277" s="318"/>
      <c r="B277" s="83" t="s">
        <v>220</v>
      </c>
      <c r="C277" s="84" t="s">
        <v>501</v>
      </c>
      <c r="D277" s="83" t="s">
        <v>5</v>
      </c>
      <c r="E277" s="83">
        <v>7132230088</v>
      </c>
      <c r="F277" s="88">
        <v>29531.74</v>
      </c>
      <c r="G277" s="86">
        <f>F277*1.0589</f>
        <v>31271.159486</v>
      </c>
      <c r="H277" s="86">
        <f>G277*18%</f>
        <v>5628.8087074799996</v>
      </c>
      <c r="I277" s="86">
        <f>G277+H277</f>
        <v>36899.968193480003</v>
      </c>
      <c r="J277" s="87">
        <v>0.18</v>
      </c>
      <c r="K277" s="37"/>
    </row>
    <row r="278" spans="1:11" ht="18.75" customHeight="1">
      <c r="A278" s="318"/>
      <c r="B278" s="83" t="s">
        <v>222</v>
      </c>
      <c r="C278" s="84" t="s">
        <v>502</v>
      </c>
      <c r="D278" s="83" t="s">
        <v>5</v>
      </c>
      <c r="E278" s="83">
        <v>7132230403</v>
      </c>
      <c r="F278" s="88">
        <v>29628.39</v>
      </c>
      <c r="G278" s="92" t="s">
        <v>707</v>
      </c>
      <c r="H278" s="86"/>
      <c r="I278" s="92" t="s">
        <v>707</v>
      </c>
      <c r="J278" s="181"/>
      <c r="K278" s="37"/>
    </row>
    <row r="279" spans="1:11" ht="29.25" customHeight="1">
      <c r="A279" s="318"/>
      <c r="B279" s="100" t="s">
        <v>18</v>
      </c>
      <c r="C279" s="77" t="s">
        <v>503</v>
      </c>
      <c r="D279" s="79"/>
      <c r="E279" s="79"/>
      <c r="F279" s="79"/>
      <c r="G279" s="86"/>
      <c r="H279" s="86"/>
      <c r="I279" s="126"/>
      <c r="J279" s="79"/>
      <c r="K279" s="37"/>
    </row>
    <row r="280" spans="1:11" ht="16.5" customHeight="1">
      <c r="A280" s="318"/>
      <c r="B280" s="83" t="s">
        <v>8</v>
      </c>
      <c r="C280" s="84" t="s">
        <v>504</v>
      </c>
      <c r="D280" s="83" t="s">
        <v>5</v>
      </c>
      <c r="E280" s="97">
        <v>7132230447</v>
      </c>
      <c r="F280" s="86">
        <v>83243.62</v>
      </c>
      <c r="G280" s="92" t="s">
        <v>707</v>
      </c>
      <c r="H280" s="86"/>
      <c r="I280" s="92" t="s">
        <v>707</v>
      </c>
      <c r="J280" s="87"/>
      <c r="K280" s="37"/>
    </row>
    <row r="281" spans="1:11" ht="17.25" customHeight="1">
      <c r="A281" s="318"/>
      <c r="B281" s="83" t="s">
        <v>15</v>
      </c>
      <c r="C281" s="84" t="s">
        <v>506</v>
      </c>
      <c r="D281" s="83" t="s">
        <v>5</v>
      </c>
      <c r="E281" s="97">
        <v>7132230449</v>
      </c>
      <c r="F281" s="86">
        <v>64613.59</v>
      </c>
      <c r="G281" s="92" t="s">
        <v>707</v>
      </c>
      <c r="H281" s="86"/>
      <c r="I281" s="92" t="s">
        <v>707</v>
      </c>
      <c r="J281" s="87"/>
      <c r="K281" s="37"/>
    </row>
    <row r="282" spans="1:11" ht="21" customHeight="1">
      <c r="A282" s="318"/>
      <c r="B282" s="83" t="s">
        <v>180</v>
      </c>
      <c r="C282" s="84" t="s">
        <v>500</v>
      </c>
      <c r="D282" s="83" t="s">
        <v>5</v>
      </c>
      <c r="E282" s="97">
        <v>7132230427</v>
      </c>
      <c r="F282" s="88">
        <v>64433.02</v>
      </c>
      <c r="G282" s="86">
        <f>F282*1.0584</f>
        <v>68195.908368000004</v>
      </c>
      <c r="H282" s="86">
        <f>G282*18%</f>
        <v>12275.26350624</v>
      </c>
      <c r="I282" s="126">
        <f>G282+H282</f>
        <v>80471.171874240012</v>
      </c>
      <c r="J282" s="87">
        <v>0.18</v>
      </c>
      <c r="K282" s="37"/>
    </row>
    <row r="283" spans="1:11" ht="21" customHeight="1">
      <c r="A283" s="318"/>
      <c r="B283" s="83" t="s">
        <v>218</v>
      </c>
      <c r="C283" s="84" t="s">
        <v>498</v>
      </c>
      <c r="D283" s="83" t="s">
        <v>5</v>
      </c>
      <c r="E283" s="83">
        <v>7132230089</v>
      </c>
      <c r="F283" s="88">
        <v>66994.8</v>
      </c>
      <c r="G283" s="86">
        <f>F283*1.0584</f>
        <v>70907.296320000009</v>
      </c>
      <c r="H283" s="86">
        <f>G283*18%</f>
        <v>12763.313337600001</v>
      </c>
      <c r="I283" s="126">
        <f>G283+H283</f>
        <v>83670.609657600013</v>
      </c>
      <c r="J283" s="87">
        <v>0.18</v>
      </c>
      <c r="K283" s="37"/>
    </row>
    <row r="284" spans="1:11" ht="19.5" customHeight="1">
      <c r="A284" s="318"/>
      <c r="B284" s="83" t="s">
        <v>220</v>
      </c>
      <c r="C284" s="84" t="s">
        <v>501</v>
      </c>
      <c r="D284" s="83" t="s">
        <v>5</v>
      </c>
      <c r="E284" s="83">
        <v>7132230457</v>
      </c>
      <c r="F284" s="88">
        <v>65987.37</v>
      </c>
      <c r="G284" s="86">
        <f>F284*1.0584</f>
        <v>69841.032407999999</v>
      </c>
      <c r="H284" s="86">
        <f>G284*18%</f>
        <v>12571.385833439999</v>
      </c>
      <c r="I284" s="126">
        <f>G284+H284</f>
        <v>82412.418241439998</v>
      </c>
      <c r="J284" s="87">
        <v>0.18</v>
      </c>
      <c r="K284" s="37"/>
    </row>
    <row r="285" spans="1:11" ht="28.5" customHeight="1">
      <c r="A285" s="318"/>
      <c r="B285" s="100" t="s">
        <v>23</v>
      </c>
      <c r="C285" s="103" t="s">
        <v>708</v>
      </c>
      <c r="D285" s="95"/>
      <c r="E285" s="95"/>
      <c r="F285" s="122"/>
      <c r="G285" s="138"/>
      <c r="H285" s="138"/>
      <c r="I285" s="138"/>
      <c r="J285" s="181"/>
    </row>
    <row r="286" spans="1:11" ht="20.25" customHeight="1">
      <c r="A286" s="318"/>
      <c r="B286" s="83" t="s">
        <v>8</v>
      </c>
      <c r="C286" s="84" t="s">
        <v>493</v>
      </c>
      <c r="D286" s="83" t="s">
        <v>5</v>
      </c>
      <c r="E286" s="83">
        <v>7132230009</v>
      </c>
      <c r="F286" s="88">
        <v>169893.06</v>
      </c>
      <c r="G286" s="86">
        <f>F286*1.0584</f>
        <v>179814.81470399999</v>
      </c>
      <c r="H286" s="86">
        <f>G286*18%</f>
        <v>32366.666646719998</v>
      </c>
      <c r="I286" s="126">
        <f>G286+H286</f>
        <v>212181.48135071999</v>
      </c>
      <c r="J286" s="87">
        <v>0.18</v>
      </c>
      <c r="K286" s="69" t="s">
        <v>709</v>
      </c>
    </row>
    <row r="287" spans="1:11" ht="20.25" customHeight="1">
      <c r="A287" s="318"/>
      <c r="B287" s="83" t="s">
        <v>11</v>
      </c>
      <c r="C287" s="84" t="s">
        <v>495</v>
      </c>
      <c r="D287" s="83" t="s">
        <v>5</v>
      </c>
      <c r="E287" s="83">
        <v>7132230011</v>
      </c>
      <c r="F287" s="88">
        <v>169893.06</v>
      </c>
      <c r="G287" s="86">
        <f>F287*1.0584</f>
        <v>179814.81470399999</v>
      </c>
      <c r="H287" s="86">
        <f>G287*18%</f>
        <v>32366.666646719998</v>
      </c>
      <c r="I287" s="126">
        <f>G287+H287</f>
        <v>212181.48135071999</v>
      </c>
      <c r="J287" s="87">
        <v>0.18</v>
      </c>
      <c r="K287" s="69" t="s">
        <v>709</v>
      </c>
    </row>
    <row r="288" spans="1:11" ht="20.25" customHeight="1">
      <c r="A288" s="318"/>
      <c r="B288" s="83" t="s">
        <v>32</v>
      </c>
      <c r="C288" s="84" t="s">
        <v>496</v>
      </c>
      <c r="D288" s="83" t="s">
        <v>5</v>
      </c>
      <c r="E288" s="97">
        <v>7132230017</v>
      </c>
      <c r="F288" s="86">
        <v>169893.06</v>
      </c>
      <c r="G288" s="86">
        <f>F288*1.0584</f>
        <v>179814.81470399999</v>
      </c>
      <c r="H288" s="86">
        <f>G288*18%</f>
        <v>32366.666646719998</v>
      </c>
      <c r="I288" s="126">
        <f>G288+H288</f>
        <v>212181.48135071999</v>
      </c>
      <c r="J288" s="87">
        <v>0.18</v>
      </c>
      <c r="K288" s="37"/>
    </row>
    <row r="289" spans="1:11" ht="20.25" customHeight="1">
      <c r="A289" s="318"/>
      <c r="B289" s="83" t="s">
        <v>15</v>
      </c>
      <c r="C289" s="84" t="s">
        <v>502</v>
      </c>
      <c r="D289" s="83" t="s">
        <v>5</v>
      </c>
      <c r="E289" s="97">
        <v>7132230015</v>
      </c>
      <c r="F289" s="86">
        <v>184065.91</v>
      </c>
      <c r="G289" s="86">
        <f>F289*1.0584</f>
        <v>194815.35914400002</v>
      </c>
      <c r="H289" s="86">
        <f>G289*18%</f>
        <v>35066.764645920004</v>
      </c>
      <c r="I289" s="126">
        <f>G289+H289</f>
        <v>229882.12378992001</v>
      </c>
      <c r="J289" s="87">
        <v>0.18</v>
      </c>
      <c r="K289" s="37"/>
    </row>
    <row r="290" spans="1:11" ht="20.25" customHeight="1">
      <c r="A290" s="318"/>
      <c r="B290" s="83" t="s">
        <v>88</v>
      </c>
      <c r="C290" s="84" t="s">
        <v>499</v>
      </c>
      <c r="D290" s="83" t="s">
        <v>5</v>
      </c>
      <c r="E290" s="141">
        <v>7132230012</v>
      </c>
      <c r="F290" s="86">
        <v>184065.91</v>
      </c>
      <c r="G290" s="86">
        <f>F290*1.0584</f>
        <v>194815.35914400002</v>
      </c>
      <c r="H290" s="86">
        <f>G290*18%</f>
        <v>35066.764645920004</v>
      </c>
      <c r="I290" s="126">
        <f>G290+H290</f>
        <v>229882.12378992001</v>
      </c>
      <c r="J290" s="87">
        <v>0.18</v>
      </c>
      <c r="K290" s="69" t="s">
        <v>709</v>
      </c>
    </row>
    <row r="291" spans="1:11" ht="27.75" customHeight="1">
      <c r="A291" s="318"/>
      <c r="B291" s="100" t="s">
        <v>185</v>
      </c>
      <c r="C291" s="91" t="s">
        <v>509</v>
      </c>
      <c r="D291" s="95"/>
      <c r="E291" s="122"/>
      <c r="F291" s="122"/>
      <c r="G291" s="86"/>
      <c r="H291" s="86"/>
      <c r="I291" s="126"/>
      <c r="J291" s="122"/>
    </row>
    <row r="292" spans="1:11" ht="15.75" customHeight="1">
      <c r="A292" s="318"/>
      <c r="B292" s="83" t="s">
        <v>8</v>
      </c>
      <c r="C292" s="84" t="s">
        <v>493</v>
      </c>
      <c r="D292" s="83" t="s">
        <v>5</v>
      </c>
      <c r="E292" s="97">
        <v>7132230008</v>
      </c>
      <c r="F292" s="86">
        <v>55633.99</v>
      </c>
      <c r="G292" s="86">
        <f>F292*1.0584</f>
        <v>58883.015015999998</v>
      </c>
      <c r="H292" s="86">
        <f>G292*18%</f>
        <v>10598.94270288</v>
      </c>
      <c r="I292" s="126">
        <f>G292+H292</f>
        <v>69481.957718880003</v>
      </c>
      <c r="J292" s="87">
        <v>0.18</v>
      </c>
      <c r="K292" s="58" t="s">
        <v>709</v>
      </c>
    </row>
    <row r="293" spans="1:11" ht="17.25" customHeight="1">
      <c r="A293" s="318"/>
      <c r="B293" s="83" t="s">
        <v>11</v>
      </c>
      <c r="C293" s="84" t="s">
        <v>494</v>
      </c>
      <c r="D293" s="83" t="s">
        <v>5</v>
      </c>
      <c r="E293" s="97"/>
      <c r="F293" s="86"/>
      <c r="G293" s="86">
        <v>58883.015015999998</v>
      </c>
      <c r="H293" s="86">
        <f>G293*18%</f>
        <v>10598.94270288</v>
      </c>
      <c r="I293" s="126">
        <f>G293+H293</f>
        <v>69481.957718880003</v>
      </c>
      <c r="J293" s="87">
        <v>0.18</v>
      </c>
      <c r="K293" s="58" t="s">
        <v>716</v>
      </c>
    </row>
    <row r="294" spans="1:11" ht="15.75" customHeight="1">
      <c r="A294" s="318"/>
      <c r="B294" s="83" t="s">
        <v>32</v>
      </c>
      <c r="C294" s="84" t="s">
        <v>495</v>
      </c>
      <c r="D294" s="83" t="s">
        <v>5</v>
      </c>
      <c r="E294" s="97">
        <v>7132230010</v>
      </c>
      <c r="F294" s="86">
        <v>55633.99</v>
      </c>
      <c r="G294" s="86">
        <f>F294*1.0584</f>
        <v>58883.015015999998</v>
      </c>
      <c r="H294" s="86">
        <f>G294*18%</f>
        <v>10598.94270288</v>
      </c>
      <c r="I294" s="126">
        <f>G294+H294</f>
        <v>69481.957718880003</v>
      </c>
      <c r="J294" s="87">
        <v>0.18</v>
      </c>
      <c r="K294" s="58" t="s">
        <v>709</v>
      </c>
    </row>
    <row r="295" spans="1:11" ht="17.25" customHeight="1">
      <c r="A295" s="319"/>
      <c r="B295" s="83" t="s">
        <v>15</v>
      </c>
      <c r="C295" s="84" t="s">
        <v>496</v>
      </c>
      <c r="D295" s="83" t="s">
        <v>5</v>
      </c>
      <c r="E295" s="145"/>
      <c r="F295" s="86"/>
      <c r="G295" s="86">
        <v>58883.015015999998</v>
      </c>
      <c r="H295" s="86">
        <f>G295*18%</f>
        <v>10598.94270288</v>
      </c>
      <c r="I295" s="126">
        <f>G295+H295</f>
        <v>69481.957718880003</v>
      </c>
      <c r="J295" s="87">
        <v>0.18</v>
      </c>
      <c r="K295" s="58" t="s">
        <v>716</v>
      </c>
    </row>
    <row r="296" spans="1:11" ht="18.75" customHeight="1">
      <c r="A296" s="317">
        <v>82</v>
      </c>
      <c r="B296" s="100" t="s">
        <v>27</v>
      </c>
      <c r="C296" s="91" t="s">
        <v>510</v>
      </c>
      <c r="D296" s="79"/>
      <c r="E296" s="127"/>
      <c r="F296" s="79"/>
      <c r="G296" s="86"/>
      <c r="H296" s="86"/>
      <c r="I296" s="126"/>
      <c r="J296" s="87"/>
    </row>
    <row r="297" spans="1:11" ht="17.25" customHeight="1">
      <c r="A297" s="318"/>
      <c r="B297" s="83" t="s">
        <v>8</v>
      </c>
      <c r="C297" s="84" t="s">
        <v>511</v>
      </c>
      <c r="D297" s="83" t="s">
        <v>5</v>
      </c>
      <c r="E297" s="83">
        <v>7131820031</v>
      </c>
      <c r="F297" s="86">
        <v>88.42</v>
      </c>
      <c r="G297" s="86">
        <f>F297*0.988</f>
        <v>87.358959999999996</v>
      </c>
      <c r="H297" s="86">
        <f t="shared" ref="H297:H311" si="22">G297*18%</f>
        <v>15.724612799999999</v>
      </c>
      <c r="I297" s="126">
        <f>G297+H297</f>
        <v>103.0835728</v>
      </c>
      <c r="J297" s="87">
        <v>0.18</v>
      </c>
      <c r="K297" s="37"/>
    </row>
    <row r="298" spans="1:11" ht="20.25" customHeight="1">
      <c r="A298" s="318"/>
      <c r="B298" s="83" t="s">
        <v>11</v>
      </c>
      <c r="C298" s="84" t="s">
        <v>512</v>
      </c>
      <c r="D298" s="83" t="s">
        <v>5</v>
      </c>
      <c r="E298" s="83">
        <v>7131820032</v>
      </c>
      <c r="F298" s="86">
        <v>88.42</v>
      </c>
      <c r="G298" s="86">
        <f>F298*0.988</f>
        <v>87.358959999999996</v>
      </c>
      <c r="H298" s="86">
        <f t="shared" si="22"/>
        <v>15.724612799999999</v>
      </c>
      <c r="I298" s="126">
        <f>G298+H298</f>
        <v>103.0835728</v>
      </c>
      <c r="J298" s="87">
        <v>0.18</v>
      </c>
      <c r="K298" s="37"/>
    </row>
    <row r="299" spans="1:11" ht="18.75" customHeight="1">
      <c r="A299" s="318"/>
      <c r="B299" s="100" t="s">
        <v>18</v>
      </c>
      <c r="C299" s="91" t="s">
        <v>513</v>
      </c>
      <c r="D299" s="79"/>
      <c r="E299" s="127"/>
      <c r="F299" s="79"/>
      <c r="G299" s="86"/>
      <c r="H299" s="86"/>
      <c r="I299" s="126"/>
      <c r="J299" s="87"/>
      <c r="K299" s="37"/>
    </row>
    <row r="300" spans="1:11" ht="20.25" customHeight="1">
      <c r="A300" s="318"/>
      <c r="B300" s="83" t="s">
        <v>8</v>
      </c>
      <c r="C300" s="84" t="s">
        <v>249</v>
      </c>
      <c r="D300" s="83" t="s">
        <v>5</v>
      </c>
      <c r="E300" s="83">
        <v>7131820033</v>
      </c>
      <c r="F300" s="86">
        <v>374.72</v>
      </c>
      <c r="G300" s="86">
        <f>F300*0.988</f>
        <v>370.22336000000001</v>
      </c>
      <c r="H300" s="86">
        <f t="shared" si="22"/>
        <v>66.640204800000006</v>
      </c>
      <c r="I300" s="126">
        <f>G300+H300</f>
        <v>436.86356480000001</v>
      </c>
      <c r="J300" s="87">
        <v>0.18</v>
      </c>
      <c r="K300" s="37"/>
    </row>
    <row r="301" spans="1:11" ht="20.25" customHeight="1">
      <c r="A301" s="319"/>
      <c r="B301" s="83" t="s">
        <v>11</v>
      </c>
      <c r="C301" s="84" t="s">
        <v>250</v>
      </c>
      <c r="D301" s="83" t="s">
        <v>5</v>
      </c>
      <c r="E301" s="83">
        <v>7131820034</v>
      </c>
      <c r="F301" s="86">
        <v>374.72</v>
      </c>
      <c r="G301" s="86">
        <f>F301*0.988</f>
        <v>370.22336000000001</v>
      </c>
      <c r="H301" s="86">
        <f t="shared" si="22"/>
        <v>66.640204800000006</v>
      </c>
      <c r="I301" s="126">
        <f>G301+H301</f>
        <v>436.86356480000001</v>
      </c>
      <c r="J301" s="87">
        <v>0.18</v>
      </c>
      <c r="K301" s="37"/>
    </row>
    <row r="302" spans="1:11" ht="18.75" customHeight="1">
      <c r="A302" s="317">
        <v>83</v>
      </c>
      <c r="B302" s="95"/>
      <c r="C302" s="91" t="s">
        <v>514</v>
      </c>
      <c r="D302" s="79"/>
      <c r="E302" s="127"/>
      <c r="F302" s="79"/>
      <c r="G302" s="86"/>
      <c r="H302" s="86"/>
      <c r="I302" s="126"/>
      <c r="J302" s="79"/>
      <c r="K302" s="37"/>
    </row>
    <row r="303" spans="1:11" ht="17.25" customHeight="1">
      <c r="A303" s="318"/>
      <c r="B303" s="83" t="s">
        <v>8</v>
      </c>
      <c r="C303" s="84" t="s">
        <v>515</v>
      </c>
      <c r="D303" s="83" t="s">
        <v>5</v>
      </c>
      <c r="E303" s="83">
        <v>7131820035</v>
      </c>
      <c r="F303" s="86">
        <v>2496.09</v>
      </c>
      <c r="G303" s="86">
        <f>F303*0.988</f>
        <v>2466.1369199999999</v>
      </c>
      <c r="H303" s="86">
        <f t="shared" si="22"/>
        <v>443.90464559999998</v>
      </c>
      <c r="I303" s="126">
        <f>G303+H303</f>
        <v>2910.0415656</v>
      </c>
      <c r="J303" s="87">
        <v>0.18</v>
      </c>
      <c r="K303" s="183"/>
    </row>
    <row r="304" spans="1:11" ht="18.75" customHeight="1">
      <c r="A304" s="318"/>
      <c r="B304" s="83" t="s">
        <v>11</v>
      </c>
      <c r="C304" s="84" t="s">
        <v>516</v>
      </c>
      <c r="D304" s="83" t="s">
        <v>5</v>
      </c>
      <c r="E304" s="83">
        <v>7131820036</v>
      </c>
      <c r="F304" s="86">
        <v>2704.46</v>
      </c>
      <c r="G304" s="86">
        <f>F304*0.988</f>
        <v>2672.00648</v>
      </c>
      <c r="H304" s="86">
        <f t="shared" si="22"/>
        <v>480.96116639999997</v>
      </c>
      <c r="I304" s="126">
        <f>G304+H304</f>
        <v>3152.9676463999999</v>
      </c>
      <c r="J304" s="87">
        <v>0.18</v>
      </c>
      <c r="K304" s="183"/>
    </row>
    <row r="305" spans="1:12" ht="18" customHeight="1">
      <c r="A305" s="319"/>
      <c r="B305" s="83" t="s">
        <v>32</v>
      </c>
      <c r="C305" s="84" t="s">
        <v>517</v>
      </c>
      <c r="D305" s="83" t="s">
        <v>5</v>
      </c>
      <c r="E305" s="83">
        <v>7131820037</v>
      </c>
      <c r="F305" s="86">
        <v>2704.46</v>
      </c>
      <c r="G305" s="86">
        <f>F305*0.988</f>
        <v>2672.00648</v>
      </c>
      <c r="H305" s="86">
        <f t="shared" si="22"/>
        <v>480.96116639999997</v>
      </c>
      <c r="I305" s="126">
        <f>G305+H305</f>
        <v>3152.9676463999999</v>
      </c>
      <c r="J305" s="87">
        <v>0.18</v>
      </c>
      <c r="K305" s="183"/>
    </row>
    <row r="306" spans="1:12" ht="29.25" customHeight="1">
      <c r="A306" s="317">
        <v>84</v>
      </c>
      <c r="B306" s="95"/>
      <c r="C306" s="91" t="s">
        <v>518</v>
      </c>
      <c r="D306" s="79"/>
      <c r="E306" s="127"/>
      <c r="F306" s="79"/>
      <c r="G306" s="86"/>
      <c r="H306" s="86"/>
      <c r="I306" s="126"/>
      <c r="J306" s="79"/>
      <c r="K306" s="37"/>
    </row>
    <row r="307" spans="1:12" ht="18" customHeight="1">
      <c r="A307" s="318"/>
      <c r="B307" s="83" t="s">
        <v>8</v>
      </c>
      <c r="C307" s="84" t="s">
        <v>519</v>
      </c>
      <c r="D307" s="83" t="s">
        <v>5</v>
      </c>
      <c r="E307" s="83">
        <v>7131820038</v>
      </c>
      <c r="F307" s="86">
        <v>1976.04</v>
      </c>
      <c r="G307" s="86">
        <f>F307*0.988</f>
        <v>1952.32752</v>
      </c>
      <c r="H307" s="86">
        <f t="shared" si="22"/>
        <v>351.41895360000001</v>
      </c>
      <c r="I307" s="126">
        <f>G307+H307</f>
        <v>2303.7464736000002</v>
      </c>
      <c r="J307" s="87">
        <v>0.18</v>
      </c>
      <c r="K307" s="37"/>
    </row>
    <row r="308" spans="1:12" ht="18" customHeight="1">
      <c r="A308" s="318"/>
      <c r="B308" s="83" t="s">
        <v>11</v>
      </c>
      <c r="C308" s="84" t="s">
        <v>520</v>
      </c>
      <c r="D308" s="83" t="s">
        <v>5</v>
      </c>
      <c r="E308" s="97">
        <v>7131940602</v>
      </c>
      <c r="F308" s="86">
        <v>2080.2199999999998</v>
      </c>
      <c r="G308" s="86">
        <f>F308*0.988</f>
        <v>2055.2573599999996</v>
      </c>
      <c r="H308" s="86">
        <f t="shared" si="22"/>
        <v>369.9463247999999</v>
      </c>
      <c r="I308" s="126">
        <f>G308+H308</f>
        <v>2425.2036847999993</v>
      </c>
      <c r="J308" s="87">
        <v>0.18</v>
      </c>
      <c r="K308" s="37"/>
    </row>
    <row r="309" spans="1:12" ht="18" customHeight="1">
      <c r="A309" s="318"/>
      <c r="B309" s="83" t="s">
        <v>32</v>
      </c>
      <c r="C309" s="84" t="s">
        <v>521</v>
      </c>
      <c r="D309" s="83" t="s">
        <v>5</v>
      </c>
      <c r="E309" s="83">
        <v>7131820039</v>
      </c>
      <c r="F309" s="86">
        <v>4524.66</v>
      </c>
      <c r="G309" s="86">
        <f>F309*0.988</f>
        <v>4470.3640799999994</v>
      </c>
      <c r="H309" s="86">
        <f t="shared" si="22"/>
        <v>804.66553439999984</v>
      </c>
      <c r="I309" s="126">
        <f>G309+H309</f>
        <v>5275.0296143999994</v>
      </c>
      <c r="J309" s="87">
        <v>0.18</v>
      </c>
      <c r="K309" s="37"/>
    </row>
    <row r="310" spans="1:12" ht="18" customHeight="1">
      <c r="A310" s="318"/>
      <c r="B310" s="83" t="s">
        <v>15</v>
      </c>
      <c r="C310" s="84" t="s">
        <v>522</v>
      </c>
      <c r="D310" s="83" t="s">
        <v>5</v>
      </c>
      <c r="E310" s="97">
        <v>7131940610</v>
      </c>
      <c r="F310" s="86">
        <v>19762.11</v>
      </c>
      <c r="G310" s="86">
        <f>F310*0.988</f>
        <v>19524.964680000001</v>
      </c>
      <c r="H310" s="86">
        <f t="shared" si="22"/>
        <v>3514.4936424000002</v>
      </c>
      <c r="I310" s="126">
        <f>G310+H310</f>
        <v>23039.458322400002</v>
      </c>
      <c r="J310" s="87">
        <v>0.18</v>
      </c>
      <c r="K310" s="37"/>
    </row>
    <row r="311" spans="1:12" ht="18" customHeight="1">
      <c r="A311" s="319"/>
      <c r="B311" s="83" t="s">
        <v>88</v>
      </c>
      <c r="C311" s="84" t="s">
        <v>523</v>
      </c>
      <c r="D311" s="83" t="s">
        <v>5</v>
      </c>
      <c r="E311" s="97">
        <v>7131940612</v>
      </c>
      <c r="F311" s="86">
        <v>19762.11</v>
      </c>
      <c r="G311" s="86">
        <f>F311*0.988</f>
        <v>19524.964680000001</v>
      </c>
      <c r="H311" s="86">
        <f t="shared" si="22"/>
        <v>3514.4936424000002</v>
      </c>
      <c r="I311" s="126">
        <f>G311+H311</f>
        <v>23039.458322400002</v>
      </c>
      <c r="J311" s="87">
        <v>0.18</v>
      </c>
      <c r="K311" s="37"/>
    </row>
    <row r="312" spans="1:12" ht="42.75" customHeight="1">
      <c r="A312" s="317">
        <v>85</v>
      </c>
      <c r="B312" s="95"/>
      <c r="C312" s="91" t="s">
        <v>524</v>
      </c>
      <c r="D312" s="79"/>
      <c r="E312" s="127"/>
      <c r="F312" s="79"/>
      <c r="G312" s="86"/>
      <c r="H312" s="86"/>
      <c r="I312" s="126"/>
      <c r="J312" s="79"/>
      <c r="K312" s="37"/>
    </row>
    <row r="313" spans="1:12" ht="31.5" customHeight="1">
      <c r="A313" s="318"/>
      <c r="B313" s="83" t="s">
        <v>8</v>
      </c>
      <c r="C313" s="84" t="s">
        <v>525</v>
      </c>
      <c r="D313" s="83" t="s">
        <v>5</v>
      </c>
      <c r="E313" s="97">
        <v>7131950065</v>
      </c>
      <c r="F313" s="86">
        <v>11929.91</v>
      </c>
      <c r="G313" s="86">
        <f>F313*1.0863</f>
        <v>12959.461233</v>
      </c>
      <c r="H313" s="86">
        <f t="shared" ref="H313:H318" si="23">G313*18%</f>
        <v>2332.7030219399999</v>
      </c>
      <c r="I313" s="126">
        <f t="shared" ref="I313:I318" si="24">G313+H313</f>
        <v>15292.16425494</v>
      </c>
      <c r="J313" s="87">
        <v>0.18</v>
      </c>
      <c r="K313" s="37"/>
    </row>
    <row r="314" spans="1:12" ht="31.5" customHeight="1">
      <c r="A314" s="318"/>
      <c r="B314" s="83" t="s">
        <v>11</v>
      </c>
      <c r="C314" s="84" t="s">
        <v>526</v>
      </c>
      <c r="D314" s="83" t="s">
        <v>5</v>
      </c>
      <c r="E314" s="83">
        <v>7131950105</v>
      </c>
      <c r="F314" s="86">
        <v>14912.38</v>
      </c>
      <c r="G314" s="86">
        <f>15600+600</f>
        <v>16200</v>
      </c>
      <c r="H314" s="86">
        <f t="shared" si="23"/>
        <v>2916</v>
      </c>
      <c r="I314" s="126">
        <f t="shared" si="24"/>
        <v>19116</v>
      </c>
      <c r="J314" s="87">
        <v>0.18</v>
      </c>
      <c r="K314" s="37"/>
    </row>
    <row r="315" spans="1:12" ht="31.5" customHeight="1">
      <c r="A315" s="318"/>
      <c r="B315" s="83" t="s">
        <v>32</v>
      </c>
      <c r="C315" s="84" t="s">
        <v>527</v>
      </c>
      <c r="D315" s="83" t="s">
        <v>5</v>
      </c>
      <c r="E315" s="97">
        <v>7131950200</v>
      </c>
      <c r="F315" s="86">
        <v>29824.77</v>
      </c>
      <c r="G315" s="86">
        <f>F315*1.0863</f>
        <v>32398.647651000003</v>
      </c>
      <c r="H315" s="86">
        <f t="shared" si="23"/>
        <v>5831.75657718</v>
      </c>
      <c r="I315" s="126">
        <f t="shared" si="24"/>
        <v>38230.404228180007</v>
      </c>
      <c r="J315" s="87">
        <v>0.18</v>
      </c>
      <c r="K315" s="37"/>
    </row>
    <row r="316" spans="1:12" ht="31.5" customHeight="1">
      <c r="A316" s="318"/>
      <c r="B316" s="83" t="s">
        <v>15</v>
      </c>
      <c r="C316" s="84" t="s">
        <v>528</v>
      </c>
      <c r="D316" s="83" t="s">
        <v>5</v>
      </c>
      <c r="E316" s="97">
        <v>7131950207</v>
      </c>
      <c r="F316" s="86">
        <v>39766.36</v>
      </c>
      <c r="G316" s="86">
        <f>26950+850</f>
        <v>27800</v>
      </c>
      <c r="H316" s="86">
        <f t="shared" si="23"/>
        <v>5004</v>
      </c>
      <c r="I316" s="126">
        <f t="shared" si="24"/>
        <v>32804</v>
      </c>
      <c r="J316" s="87">
        <v>0.18</v>
      </c>
      <c r="K316" s="37"/>
    </row>
    <row r="317" spans="1:12" ht="31.5" customHeight="1">
      <c r="A317" s="319"/>
      <c r="B317" s="83" t="s">
        <v>88</v>
      </c>
      <c r="C317" s="84" t="s">
        <v>529</v>
      </c>
      <c r="D317" s="83" t="s">
        <v>5</v>
      </c>
      <c r="E317" s="83">
        <v>7131950015</v>
      </c>
      <c r="F317" s="86">
        <v>49604.91</v>
      </c>
      <c r="G317" s="86">
        <f>F317*0.6991</f>
        <v>34678.792581000002</v>
      </c>
      <c r="H317" s="86">
        <f t="shared" si="23"/>
        <v>6242.1826645800002</v>
      </c>
      <c r="I317" s="126">
        <f t="shared" si="24"/>
        <v>40920.975245580004</v>
      </c>
      <c r="J317" s="87">
        <v>0.18</v>
      </c>
      <c r="K317" s="183"/>
    </row>
    <row r="318" spans="1:12" ht="42.75" customHeight="1">
      <c r="A318" s="83">
        <v>86</v>
      </c>
      <c r="B318" s="83"/>
      <c r="C318" s="84" t="s">
        <v>742</v>
      </c>
      <c r="D318" s="83" t="s">
        <v>5</v>
      </c>
      <c r="E318" s="97">
        <v>7131900004</v>
      </c>
      <c r="F318" s="86">
        <v>686.03</v>
      </c>
      <c r="G318" s="86">
        <f>590+22</f>
        <v>612</v>
      </c>
      <c r="H318" s="86">
        <f t="shared" si="23"/>
        <v>110.16</v>
      </c>
      <c r="I318" s="86">
        <f t="shared" si="24"/>
        <v>722.16</v>
      </c>
      <c r="J318" s="87">
        <v>0.18</v>
      </c>
      <c r="K318" s="67" t="s">
        <v>743</v>
      </c>
      <c r="L318" s="32"/>
    </row>
    <row r="319" spans="1:12" ht="18" customHeight="1">
      <c r="A319" s="322">
        <v>87</v>
      </c>
      <c r="B319" s="95"/>
      <c r="C319" s="91" t="s">
        <v>530</v>
      </c>
      <c r="D319" s="79"/>
      <c r="E319" s="79"/>
      <c r="F319" s="79"/>
      <c r="G319" s="86"/>
      <c r="H319" s="86"/>
      <c r="I319" s="86"/>
      <c r="J319" s="79"/>
    </row>
    <row r="320" spans="1:12" ht="21.75" customHeight="1">
      <c r="A320" s="322"/>
      <c r="B320" s="100" t="s">
        <v>27</v>
      </c>
      <c r="C320" s="103" t="s">
        <v>531</v>
      </c>
      <c r="D320" s="83" t="s">
        <v>5</v>
      </c>
      <c r="E320" s="83">
        <v>7131920112</v>
      </c>
      <c r="F320" s="88">
        <v>270350.03000000003</v>
      </c>
      <c r="G320" s="86">
        <f>F320*0.9899</f>
        <v>267619.49469700002</v>
      </c>
      <c r="H320" s="86">
        <f>G320*18%</f>
        <v>48171.509045459999</v>
      </c>
      <c r="I320" s="86">
        <f>G320+H320</f>
        <v>315791.00374246005</v>
      </c>
      <c r="J320" s="87">
        <v>0.18</v>
      </c>
      <c r="K320" s="183"/>
    </row>
    <row r="321" spans="1:12" ht="19.5" customHeight="1">
      <c r="A321" s="322"/>
      <c r="B321" s="100" t="s">
        <v>23</v>
      </c>
      <c r="C321" s="166" t="s">
        <v>533</v>
      </c>
      <c r="D321" s="83"/>
      <c r="E321" s="154"/>
      <c r="F321" s="86"/>
      <c r="G321" s="86"/>
      <c r="H321" s="86"/>
      <c r="I321" s="86"/>
      <c r="J321" s="87"/>
      <c r="K321" s="37"/>
    </row>
    <row r="322" spans="1:12" s="11" customFormat="1" ht="18" customHeight="1">
      <c r="A322" s="322"/>
      <c r="B322" s="83" t="s">
        <v>8</v>
      </c>
      <c r="C322" s="84" t="s">
        <v>534</v>
      </c>
      <c r="D322" s="83" t="s">
        <v>5</v>
      </c>
      <c r="E322" s="97">
        <v>7131960008</v>
      </c>
      <c r="F322" s="88">
        <f>21870+119.38</f>
        <v>21989.38</v>
      </c>
      <c r="G322" s="86">
        <f>F322*1.0001</f>
        <v>21991.578938000002</v>
      </c>
      <c r="H322" s="86">
        <f>G322*18%</f>
        <v>3958.4842088400001</v>
      </c>
      <c r="I322" s="86">
        <f>G322+H322</f>
        <v>25950.063146840002</v>
      </c>
      <c r="J322" s="87">
        <v>0.18</v>
      </c>
      <c r="K322" s="74"/>
    </row>
    <row r="323" spans="1:12" s="11" customFormat="1" ht="18" customHeight="1">
      <c r="A323" s="322"/>
      <c r="B323" s="83" t="s">
        <v>11</v>
      </c>
      <c r="C323" s="84" t="s">
        <v>535</v>
      </c>
      <c r="D323" s="83" t="s">
        <v>5</v>
      </c>
      <c r="E323" s="83">
        <v>7131960009</v>
      </c>
      <c r="F323" s="83">
        <f>22900+120.33</f>
        <v>23020.33</v>
      </c>
      <c r="G323" s="86">
        <f>F323*1.0001</f>
        <v>23022.632033000002</v>
      </c>
      <c r="H323" s="86">
        <f>G323*18%</f>
        <v>4144.0737659400002</v>
      </c>
      <c r="I323" s="86">
        <f>G323+H323</f>
        <v>27166.705798940002</v>
      </c>
      <c r="J323" s="87">
        <v>0.18</v>
      </c>
      <c r="K323" s="74"/>
    </row>
    <row r="324" spans="1:12" ht="29.25" customHeight="1">
      <c r="A324" s="322"/>
      <c r="B324" s="83" t="s">
        <v>88</v>
      </c>
      <c r="C324" s="84" t="s">
        <v>538</v>
      </c>
      <c r="D324" s="83" t="s">
        <v>5</v>
      </c>
      <c r="E324" s="154">
        <v>7131960010</v>
      </c>
      <c r="F324" s="88">
        <v>70744.23</v>
      </c>
      <c r="G324" s="86">
        <f>F324*1</f>
        <v>70744.23</v>
      </c>
      <c r="H324" s="86">
        <f>G324*18%</f>
        <v>12733.961399999998</v>
      </c>
      <c r="I324" s="86">
        <f>G324+H324</f>
        <v>83478.191399999996</v>
      </c>
      <c r="J324" s="87">
        <v>0.18</v>
      </c>
      <c r="K324" s="63" t="s">
        <v>709</v>
      </c>
      <c r="L324" s="59"/>
    </row>
    <row r="325" spans="1:12" s="37" customFormat="1" ht="21.75" customHeight="1">
      <c r="A325" s="322">
        <v>88</v>
      </c>
      <c r="B325" s="139" t="s">
        <v>18</v>
      </c>
      <c r="C325" s="167" t="s">
        <v>541</v>
      </c>
      <c r="D325" s="83"/>
      <c r="E325" s="168"/>
      <c r="F325" s="88"/>
      <c r="G325" s="86"/>
      <c r="H325" s="86"/>
      <c r="I325" s="86"/>
      <c r="J325" s="87"/>
    </row>
    <row r="326" spans="1:12" s="11" customFormat="1" ht="30.75" customHeight="1">
      <c r="A326" s="322"/>
      <c r="B326" s="83" t="s">
        <v>11</v>
      </c>
      <c r="C326" s="103" t="s">
        <v>543</v>
      </c>
      <c r="D326" s="83" t="s">
        <v>5</v>
      </c>
      <c r="E326" s="83">
        <v>7131960007</v>
      </c>
      <c r="F326" s="83">
        <f>24300+120.33</f>
        <v>24420.33</v>
      </c>
      <c r="G326" s="86">
        <f>F326*1.0001</f>
        <v>24422.772033000001</v>
      </c>
      <c r="H326" s="86">
        <f>G326*18%</f>
        <v>4396.0989659400002</v>
      </c>
      <c r="I326" s="86">
        <f>G326+H326</f>
        <v>28818.870998940001</v>
      </c>
      <c r="J326" s="87">
        <v>0.18</v>
      </c>
      <c r="K326" s="74"/>
    </row>
    <row r="327" spans="1:12" s="11" customFormat="1" ht="30" customHeight="1">
      <c r="A327" s="322"/>
      <c r="B327" s="83" t="s">
        <v>32</v>
      </c>
      <c r="C327" s="103" t="s">
        <v>544</v>
      </c>
      <c r="D327" s="83" t="s">
        <v>5</v>
      </c>
      <c r="E327" s="83">
        <v>7131960006</v>
      </c>
      <c r="F327" s="83">
        <f>22100+120.33</f>
        <v>22220.33</v>
      </c>
      <c r="G327" s="86">
        <f>F327*1.0001</f>
        <v>22222.552033</v>
      </c>
      <c r="H327" s="86">
        <f>G327*18%</f>
        <v>4000.0593659399997</v>
      </c>
      <c r="I327" s="86">
        <f>G327+H327</f>
        <v>26222.61139894</v>
      </c>
      <c r="J327" s="87">
        <v>0.18</v>
      </c>
      <c r="K327" s="74"/>
    </row>
    <row r="328" spans="1:12" ht="18.75" customHeight="1">
      <c r="A328" s="83">
        <v>89</v>
      </c>
      <c r="B328" s="83"/>
      <c r="C328" s="84" t="s">
        <v>546</v>
      </c>
      <c r="D328" s="83" t="s">
        <v>5</v>
      </c>
      <c r="E328" s="83">
        <v>7131950016</v>
      </c>
      <c r="F328" s="88">
        <v>301132.34000000003</v>
      </c>
      <c r="G328" s="86">
        <f>F328*0.988</f>
        <v>297518.75192000001</v>
      </c>
      <c r="H328" s="86">
        <f>G328*18%</f>
        <v>53553.375345599998</v>
      </c>
      <c r="I328" s="86">
        <f>G328+H328</f>
        <v>351072.12726560002</v>
      </c>
      <c r="J328" s="87">
        <v>0.18</v>
      </c>
      <c r="K328" s="191"/>
    </row>
    <row r="329" spans="1:12" ht="18.75" customHeight="1">
      <c r="A329" s="317">
        <v>90</v>
      </c>
      <c r="B329" s="95"/>
      <c r="C329" s="91" t="s">
        <v>547</v>
      </c>
      <c r="D329" s="79"/>
      <c r="E329" s="127"/>
      <c r="F329" s="79"/>
      <c r="G329" s="86"/>
      <c r="H329" s="86"/>
      <c r="I329" s="86"/>
      <c r="J329" s="79"/>
    </row>
    <row r="330" spans="1:12" ht="21" customHeight="1">
      <c r="A330" s="318"/>
      <c r="B330" s="83" t="s">
        <v>8</v>
      </c>
      <c r="C330" s="84" t="s">
        <v>548</v>
      </c>
      <c r="D330" s="83" t="s">
        <v>5</v>
      </c>
      <c r="E330" s="97">
        <v>7131930663</v>
      </c>
      <c r="F330" s="88">
        <v>18019.150000000001</v>
      </c>
      <c r="G330" s="86">
        <f>F330*1.064</f>
        <v>19172.375600000003</v>
      </c>
      <c r="H330" s="86">
        <f>G330*18%</f>
        <v>3451.0276080000003</v>
      </c>
      <c r="I330" s="86">
        <f>G330+H330</f>
        <v>22623.403208000003</v>
      </c>
      <c r="J330" s="87">
        <v>0.18</v>
      </c>
    </row>
    <row r="331" spans="1:12" ht="18.75" customHeight="1">
      <c r="A331" s="318"/>
      <c r="B331" s="83" t="s">
        <v>11</v>
      </c>
      <c r="C331" s="84" t="s">
        <v>549</v>
      </c>
      <c r="D331" s="83" t="s">
        <v>5</v>
      </c>
      <c r="E331" s="83">
        <v>7131930109</v>
      </c>
      <c r="F331" s="88">
        <v>35194.839999999997</v>
      </c>
      <c r="G331" s="92" t="s">
        <v>707</v>
      </c>
      <c r="H331" s="86"/>
      <c r="I331" s="92" t="s">
        <v>707</v>
      </c>
      <c r="J331" s="87"/>
    </row>
    <row r="332" spans="1:12" ht="29.25" customHeight="1">
      <c r="A332" s="319"/>
      <c r="B332" s="83" t="s">
        <v>32</v>
      </c>
      <c r="C332" s="84" t="s">
        <v>550</v>
      </c>
      <c r="D332" s="83" t="s">
        <v>5</v>
      </c>
      <c r="E332" s="97">
        <v>7131930752</v>
      </c>
      <c r="F332" s="88">
        <v>31184.1</v>
      </c>
      <c r="G332" s="86">
        <f>F332*1.064</f>
        <v>33179.882400000002</v>
      </c>
      <c r="H332" s="86">
        <f>G332*18%</f>
        <v>5972.3788320000003</v>
      </c>
      <c r="I332" s="86">
        <f>G332+H332</f>
        <v>39152.261232000004</v>
      </c>
      <c r="J332" s="87">
        <v>0.18</v>
      </c>
    </row>
    <row r="333" spans="1:12" ht="29.25" customHeight="1">
      <c r="A333" s="317">
        <v>91</v>
      </c>
      <c r="B333" s="95"/>
      <c r="C333" s="91" t="s">
        <v>551</v>
      </c>
      <c r="D333" s="79"/>
      <c r="E333" s="127"/>
      <c r="F333" s="79"/>
      <c r="G333" s="86"/>
      <c r="H333" s="86"/>
      <c r="I333" s="86"/>
      <c r="J333" s="79"/>
      <c r="K333" s="37"/>
    </row>
    <row r="334" spans="1:12" ht="18" customHeight="1">
      <c r="A334" s="318"/>
      <c r="B334" s="83" t="s">
        <v>8</v>
      </c>
      <c r="C334" s="107" t="s">
        <v>552</v>
      </c>
      <c r="D334" s="83" t="s">
        <v>5</v>
      </c>
      <c r="E334" s="83">
        <v>7132200812</v>
      </c>
      <c r="F334" s="86">
        <v>1426.17</v>
      </c>
      <c r="G334" s="86">
        <f>F334*0.928</f>
        <v>1323.48576</v>
      </c>
      <c r="H334" s="86">
        <f>G334*18%</f>
        <v>238.22743679999999</v>
      </c>
      <c r="I334" s="86">
        <f>G334+H334</f>
        <v>1561.7131968000001</v>
      </c>
      <c r="J334" s="87">
        <v>0.18</v>
      </c>
      <c r="K334" s="183"/>
    </row>
    <row r="335" spans="1:12" ht="18" customHeight="1">
      <c r="A335" s="318"/>
      <c r="B335" s="83" t="s">
        <v>11</v>
      </c>
      <c r="C335" s="107" t="s">
        <v>553</v>
      </c>
      <c r="D335" s="83" t="s">
        <v>5</v>
      </c>
      <c r="E335" s="83">
        <v>7132200813</v>
      </c>
      <c r="F335" s="86">
        <v>2851.45</v>
      </c>
      <c r="G335" s="86">
        <f t="shared" ref="G335:G337" si="25">F335*0.928</f>
        <v>2646.1455999999998</v>
      </c>
      <c r="H335" s="86">
        <f>G335*18%</f>
        <v>476.30620799999997</v>
      </c>
      <c r="I335" s="86">
        <f>G335+H335</f>
        <v>3122.4518079999998</v>
      </c>
      <c r="J335" s="87">
        <v>0.18</v>
      </c>
      <c r="K335" s="183"/>
    </row>
    <row r="336" spans="1:12" ht="18" customHeight="1">
      <c r="A336" s="318"/>
      <c r="B336" s="83" t="s">
        <v>32</v>
      </c>
      <c r="C336" s="107" t="s">
        <v>554</v>
      </c>
      <c r="D336" s="83" t="s">
        <v>5</v>
      </c>
      <c r="E336" s="83">
        <v>7132200814</v>
      </c>
      <c r="F336" s="86">
        <v>3426.2</v>
      </c>
      <c r="G336" s="86">
        <f t="shared" si="25"/>
        <v>3179.5135999999998</v>
      </c>
      <c r="H336" s="86">
        <f>G336*18%</f>
        <v>572.3124479999999</v>
      </c>
      <c r="I336" s="86">
        <f>G336+H336</f>
        <v>3751.8260479999999</v>
      </c>
      <c r="J336" s="87">
        <v>0.18</v>
      </c>
      <c r="K336" s="183"/>
    </row>
    <row r="337" spans="1:12" ht="16.5" customHeight="1">
      <c r="A337" s="319"/>
      <c r="B337" s="83" t="s">
        <v>15</v>
      </c>
      <c r="C337" s="107" t="s">
        <v>555</v>
      </c>
      <c r="D337" s="83" t="s">
        <v>5</v>
      </c>
      <c r="E337" s="83">
        <v>7132200815</v>
      </c>
      <c r="F337" s="86">
        <v>5685.93</v>
      </c>
      <c r="G337" s="86">
        <f t="shared" si="25"/>
        <v>5276.5430400000005</v>
      </c>
      <c r="H337" s="86">
        <f>G337*18%</f>
        <v>949.77774720000002</v>
      </c>
      <c r="I337" s="86">
        <f>G337+H337</f>
        <v>6226.3207872000003</v>
      </c>
      <c r="J337" s="87">
        <v>0.18</v>
      </c>
      <c r="K337" s="183"/>
    </row>
    <row r="338" spans="1:12" ht="18.75" customHeight="1">
      <c r="A338" s="317">
        <v>92</v>
      </c>
      <c r="B338" s="95"/>
      <c r="C338" s="91" t="s">
        <v>556</v>
      </c>
      <c r="D338" s="79"/>
      <c r="E338" s="127"/>
      <c r="F338" s="79"/>
      <c r="G338" s="86"/>
      <c r="H338" s="86"/>
      <c r="I338" s="86"/>
      <c r="J338" s="79"/>
      <c r="K338" s="37"/>
    </row>
    <row r="339" spans="1:12" ht="121.5" customHeight="1">
      <c r="A339" s="318"/>
      <c r="B339" s="83" t="s">
        <v>8</v>
      </c>
      <c r="C339" s="84" t="s">
        <v>710</v>
      </c>
      <c r="D339" s="83" t="s">
        <v>5</v>
      </c>
      <c r="E339" s="83">
        <v>7132200014</v>
      </c>
      <c r="F339" s="164">
        <v>118606.84</v>
      </c>
      <c r="G339" s="86">
        <f>F339*1.01</f>
        <v>119792.9084</v>
      </c>
      <c r="H339" s="86">
        <f>G339*18%</f>
        <v>21562.723512</v>
      </c>
      <c r="I339" s="86">
        <f>G339+H339</f>
        <v>141355.63191200001</v>
      </c>
      <c r="J339" s="87">
        <v>0.18</v>
      </c>
      <c r="K339" s="183"/>
    </row>
    <row r="340" spans="1:12" ht="120" customHeight="1">
      <c r="A340" s="318"/>
      <c r="B340" s="83" t="s">
        <v>11</v>
      </c>
      <c r="C340" s="84" t="s">
        <v>711</v>
      </c>
      <c r="D340" s="83" t="s">
        <v>5</v>
      </c>
      <c r="E340" s="97">
        <v>7132200826</v>
      </c>
      <c r="F340" s="164">
        <v>156836.07</v>
      </c>
      <c r="G340" s="86">
        <f>F340*1.01</f>
        <v>158404.4307</v>
      </c>
      <c r="H340" s="86">
        <f>G340*18%</f>
        <v>28512.797525999998</v>
      </c>
      <c r="I340" s="86">
        <f>G340+H340</f>
        <v>186917.22822600001</v>
      </c>
      <c r="J340" s="87">
        <v>0.18</v>
      </c>
      <c r="K340" s="183"/>
    </row>
    <row r="341" spans="1:12" ht="29.25" customHeight="1">
      <c r="A341" s="319"/>
      <c r="B341" s="83" t="s">
        <v>32</v>
      </c>
      <c r="C341" s="84" t="s">
        <v>64</v>
      </c>
      <c r="D341" s="83" t="s">
        <v>5</v>
      </c>
      <c r="E341" s="97">
        <v>7132230471</v>
      </c>
      <c r="F341" s="164">
        <v>28240.52</v>
      </c>
      <c r="G341" s="86">
        <f>F341*1</f>
        <v>28240.52</v>
      </c>
      <c r="H341" s="86">
        <f>G341*18%</f>
        <v>5083.2936</v>
      </c>
      <c r="I341" s="86">
        <f>G341+H341</f>
        <v>33323.813600000001</v>
      </c>
      <c r="J341" s="87">
        <v>0.18</v>
      </c>
      <c r="K341" s="199" t="s">
        <v>709</v>
      </c>
      <c r="L341" s="200"/>
    </row>
    <row r="342" spans="1:12" s="23" customFormat="1" ht="32.25" customHeight="1">
      <c r="A342" s="317">
        <v>93</v>
      </c>
      <c r="B342" s="95"/>
      <c r="C342" s="91" t="s">
        <v>557</v>
      </c>
      <c r="D342" s="95"/>
      <c r="E342" s="123"/>
      <c r="F342" s="169"/>
      <c r="G342" s="86"/>
      <c r="H342" s="86"/>
      <c r="I342" s="86"/>
      <c r="J342" s="169"/>
    </row>
    <row r="343" spans="1:12" s="23" customFormat="1" ht="27.75" customHeight="1">
      <c r="A343" s="318"/>
      <c r="B343" s="170"/>
      <c r="C343" s="103" t="s">
        <v>558</v>
      </c>
      <c r="D343" s="95"/>
      <c r="E343" s="123"/>
      <c r="F343" s="169"/>
      <c r="G343" s="86"/>
      <c r="H343" s="86"/>
      <c r="I343" s="86"/>
      <c r="J343" s="169"/>
    </row>
    <row r="344" spans="1:12" s="23" customFormat="1" ht="28.5" customHeight="1">
      <c r="A344" s="318"/>
      <c r="B344" s="83" t="s">
        <v>8</v>
      </c>
      <c r="C344" s="84" t="s">
        <v>559</v>
      </c>
      <c r="D344" s="83" t="s">
        <v>57</v>
      </c>
      <c r="E344" s="97">
        <v>7132210106</v>
      </c>
      <c r="F344" s="88">
        <v>5759.68</v>
      </c>
      <c r="G344" s="86">
        <f>F344*1.01</f>
        <v>5817.2768000000005</v>
      </c>
      <c r="H344" s="86">
        <f t="shared" ref="H344:H350" si="26">G344*18%</f>
        <v>1047.1098240000001</v>
      </c>
      <c r="I344" s="86">
        <f t="shared" ref="I344:I349" si="27">G344+H344</f>
        <v>6864.3866240000007</v>
      </c>
      <c r="J344" s="87">
        <v>0.18</v>
      </c>
      <c r="K344" s="66" t="s">
        <v>709</v>
      </c>
      <c r="L344" s="65"/>
    </row>
    <row r="345" spans="1:12" s="23" customFormat="1" ht="28.5" customHeight="1">
      <c r="A345" s="318"/>
      <c r="B345" s="83" t="s">
        <v>11</v>
      </c>
      <c r="C345" s="84" t="s">
        <v>560</v>
      </c>
      <c r="D345" s="83" t="s">
        <v>57</v>
      </c>
      <c r="E345" s="97">
        <v>7132210108</v>
      </c>
      <c r="F345" s="88">
        <v>7031.53</v>
      </c>
      <c r="G345" s="86">
        <f>F345*1.01</f>
        <v>7101.8453</v>
      </c>
      <c r="H345" s="86">
        <f t="shared" si="26"/>
        <v>1278.3321539999999</v>
      </c>
      <c r="I345" s="86">
        <f t="shared" si="27"/>
        <v>8380.1774540000006</v>
      </c>
      <c r="J345" s="87">
        <v>0.18</v>
      </c>
      <c r="K345" s="37"/>
    </row>
    <row r="346" spans="1:12" s="23" customFormat="1" ht="28.5" customHeight="1">
      <c r="A346" s="318"/>
      <c r="B346" s="83" t="s">
        <v>32</v>
      </c>
      <c r="C346" s="84" t="s">
        <v>65</v>
      </c>
      <c r="D346" s="83" t="s">
        <v>25</v>
      </c>
      <c r="E346" s="97">
        <v>7131980001</v>
      </c>
      <c r="F346" s="88">
        <v>56835.94</v>
      </c>
      <c r="G346" s="86">
        <f>F346*1.01</f>
        <v>57404.299400000004</v>
      </c>
      <c r="H346" s="86">
        <f t="shared" si="26"/>
        <v>10332.773892000001</v>
      </c>
      <c r="I346" s="86">
        <f t="shared" si="27"/>
        <v>67737.073292000001</v>
      </c>
      <c r="J346" s="87">
        <v>0.18</v>
      </c>
      <c r="K346" s="66" t="s">
        <v>709</v>
      </c>
      <c r="L346" s="65"/>
    </row>
    <row r="347" spans="1:12" s="23" customFormat="1" ht="39.75" customHeight="1">
      <c r="A347" s="318"/>
      <c r="B347" s="83" t="s">
        <v>15</v>
      </c>
      <c r="C347" s="84" t="s">
        <v>66</v>
      </c>
      <c r="D347" s="83" t="s">
        <v>57</v>
      </c>
      <c r="E347" s="97">
        <v>7131931091</v>
      </c>
      <c r="F347" s="88">
        <v>23331.59</v>
      </c>
      <c r="G347" s="86">
        <f>F347*1.01</f>
        <v>23564.905900000002</v>
      </c>
      <c r="H347" s="86">
        <f t="shared" si="26"/>
        <v>4241.6830620000001</v>
      </c>
      <c r="I347" s="86">
        <f t="shared" si="27"/>
        <v>27806.588962000002</v>
      </c>
      <c r="J347" s="87">
        <v>0.18</v>
      </c>
      <c r="K347" s="66" t="s">
        <v>709</v>
      </c>
      <c r="L347" s="65"/>
    </row>
    <row r="348" spans="1:12" s="23" customFormat="1" ht="29.25" customHeight="1">
      <c r="A348" s="318"/>
      <c r="B348" s="83" t="s">
        <v>88</v>
      </c>
      <c r="C348" s="84" t="s">
        <v>561</v>
      </c>
      <c r="D348" s="83" t="s">
        <v>57</v>
      </c>
      <c r="E348" s="97">
        <v>7131931095</v>
      </c>
      <c r="F348" s="88">
        <v>11659.35</v>
      </c>
      <c r="G348" s="86">
        <f>F348*1.034</f>
        <v>12055.767900000001</v>
      </c>
      <c r="H348" s="86">
        <f t="shared" si="26"/>
        <v>2170.0382220000001</v>
      </c>
      <c r="I348" s="86">
        <f t="shared" si="27"/>
        <v>14225.806122000002</v>
      </c>
      <c r="J348" s="87">
        <v>0.18</v>
      </c>
      <c r="K348" s="66" t="s">
        <v>709</v>
      </c>
      <c r="L348" s="65"/>
    </row>
    <row r="349" spans="1:12" s="23" customFormat="1" ht="30.75" customHeight="1">
      <c r="A349" s="318"/>
      <c r="B349" s="83" t="s">
        <v>108</v>
      </c>
      <c r="C349" s="84" t="s">
        <v>67</v>
      </c>
      <c r="D349" s="83" t="s">
        <v>2</v>
      </c>
      <c r="E349" s="97">
        <v>7131940871</v>
      </c>
      <c r="F349" s="88">
        <v>39178.050000000003</v>
      </c>
      <c r="G349" s="86">
        <f>F349*1.01</f>
        <v>39569.830500000004</v>
      </c>
      <c r="H349" s="86">
        <f t="shared" si="26"/>
        <v>7122.5694900000008</v>
      </c>
      <c r="I349" s="86">
        <f t="shared" si="27"/>
        <v>46692.399990000005</v>
      </c>
      <c r="J349" s="87">
        <v>0.18</v>
      </c>
      <c r="K349" s="66" t="s">
        <v>709</v>
      </c>
      <c r="L349" s="65"/>
    </row>
    <row r="350" spans="1:12" s="23" customFormat="1" ht="21.75" customHeight="1">
      <c r="A350" s="319"/>
      <c r="B350" s="83" t="s">
        <v>56</v>
      </c>
      <c r="C350" s="84" t="s">
        <v>69</v>
      </c>
      <c r="D350" s="83" t="s">
        <v>68</v>
      </c>
      <c r="E350" s="97">
        <v>7130850198</v>
      </c>
      <c r="F350" s="88">
        <v>67.41</v>
      </c>
      <c r="G350" s="86">
        <f>F350*1.034</f>
        <v>69.701939999999993</v>
      </c>
      <c r="H350" s="86">
        <f t="shared" si="26"/>
        <v>12.546349199999998</v>
      </c>
      <c r="I350" s="86">
        <f>G350+H350</f>
        <v>82.248289199999988</v>
      </c>
      <c r="J350" s="87">
        <v>0.18</v>
      </c>
      <c r="K350" s="66" t="s">
        <v>709</v>
      </c>
      <c r="L350" s="65"/>
    </row>
    <row r="351" spans="1:12" ht="19.5" customHeight="1">
      <c r="A351" s="317">
        <v>98</v>
      </c>
      <c r="B351" s="95"/>
      <c r="C351" s="91" t="s">
        <v>566</v>
      </c>
      <c r="D351" s="96"/>
      <c r="E351" s="124"/>
      <c r="F351" s="96"/>
      <c r="G351" s="86"/>
      <c r="H351" s="86"/>
      <c r="I351" s="86"/>
      <c r="J351" s="96"/>
      <c r="K351" s="37"/>
    </row>
    <row r="352" spans="1:12" ht="27.75" customHeight="1">
      <c r="A352" s="318"/>
      <c r="B352" s="83" t="s">
        <v>8</v>
      </c>
      <c r="C352" s="107" t="s">
        <v>567</v>
      </c>
      <c r="D352" s="83" t="s">
        <v>25</v>
      </c>
      <c r="E352" s="85">
        <v>7130890004</v>
      </c>
      <c r="F352" s="86">
        <v>3789.54</v>
      </c>
      <c r="G352" s="86">
        <f>F352*1.152</f>
        <v>4365.55008</v>
      </c>
      <c r="H352" s="86">
        <f>G352*18%</f>
        <v>785.79901439999992</v>
      </c>
      <c r="I352" s="86">
        <f>G352+H352</f>
        <v>5151.3490943999996</v>
      </c>
      <c r="J352" s="87">
        <v>0.18</v>
      </c>
      <c r="K352" s="37"/>
    </row>
    <row r="353" spans="1:11" ht="27.75" customHeight="1">
      <c r="A353" s="318"/>
      <c r="B353" s="83" t="s">
        <v>11</v>
      </c>
      <c r="C353" s="107" t="s">
        <v>568</v>
      </c>
      <c r="D353" s="83" t="s">
        <v>25</v>
      </c>
      <c r="E353" s="85">
        <v>7130890005</v>
      </c>
      <c r="F353" s="86">
        <v>4781.4799999999996</v>
      </c>
      <c r="G353" s="86">
        <f>F353*1.152</f>
        <v>5508.2649599999995</v>
      </c>
      <c r="H353" s="86">
        <f>G353*18%</f>
        <v>991.48769279999988</v>
      </c>
      <c r="I353" s="86">
        <f>G353+H353</f>
        <v>6499.7526527999999</v>
      </c>
      <c r="J353" s="87">
        <v>0.18</v>
      </c>
      <c r="K353" s="37"/>
    </row>
    <row r="354" spans="1:11" ht="27.75" customHeight="1">
      <c r="A354" s="318"/>
      <c r="B354" s="83" t="s">
        <v>32</v>
      </c>
      <c r="C354" s="107" t="s">
        <v>569</v>
      </c>
      <c r="D354" s="83" t="s">
        <v>25</v>
      </c>
      <c r="E354" s="85">
        <v>7130890006</v>
      </c>
      <c r="F354" s="86">
        <v>10844.39</v>
      </c>
      <c r="G354" s="86">
        <f>F354*1.152</f>
        <v>12492.737279999998</v>
      </c>
      <c r="H354" s="86">
        <f>G354*18%</f>
        <v>2248.6927103999997</v>
      </c>
      <c r="I354" s="86">
        <f>G354+H354</f>
        <v>14741.429990399996</v>
      </c>
      <c r="J354" s="87">
        <v>0.18</v>
      </c>
      <c r="K354" s="37"/>
    </row>
    <row r="355" spans="1:11" ht="27.75" customHeight="1">
      <c r="A355" s="319"/>
      <c r="B355" s="83" t="s">
        <v>15</v>
      </c>
      <c r="C355" s="107" t="s">
        <v>570</v>
      </c>
      <c r="D355" s="83" t="s">
        <v>25</v>
      </c>
      <c r="E355" s="85">
        <v>7130890007</v>
      </c>
      <c r="F355" s="86">
        <v>11360.79</v>
      </c>
      <c r="G355" s="86">
        <f>F355*1.152</f>
        <v>13087.630080000001</v>
      </c>
      <c r="H355" s="86">
        <f>G355*18%</f>
        <v>2355.7734144000001</v>
      </c>
      <c r="I355" s="86">
        <f>G355+H355</f>
        <v>15443.403494400001</v>
      </c>
      <c r="J355" s="87">
        <v>0.18</v>
      </c>
      <c r="K355" s="37"/>
    </row>
    <row r="356" spans="1:11" ht="21" customHeight="1">
      <c r="A356" s="171">
        <v>100</v>
      </c>
      <c r="B356" s="83"/>
      <c r="C356" s="172" t="s">
        <v>573</v>
      </c>
      <c r="D356" s="173" t="s">
        <v>25</v>
      </c>
      <c r="E356" s="174">
        <v>7131961526</v>
      </c>
      <c r="F356" s="86">
        <v>3133</v>
      </c>
      <c r="G356" s="86">
        <f>F356*1</f>
        <v>3133</v>
      </c>
      <c r="H356" s="86">
        <f>G356*18%</f>
        <v>563.93999999999994</v>
      </c>
      <c r="I356" s="86">
        <f>G356+H356</f>
        <v>3696.94</v>
      </c>
      <c r="J356" s="87">
        <v>0.18</v>
      </c>
      <c r="K356" s="37"/>
    </row>
    <row r="357" spans="1:11" ht="25.5">
      <c r="A357" s="317">
        <v>101</v>
      </c>
      <c r="B357" s="89"/>
      <c r="C357" s="91" t="s">
        <v>574</v>
      </c>
      <c r="D357" s="79"/>
      <c r="E357" s="127"/>
      <c r="F357" s="79"/>
      <c r="G357" s="86"/>
      <c r="H357" s="86"/>
      <c r="I357" s="86"/>
      <c r="J357" s="79"/>
      <c r="K357" s="37"/>
    </row>
    <row r="358" spans="1:11" ht="17.25" customHeight="1">
      <c r="A358" s="318"/>
      <c r="B358" s="85">
        <v>1</v>
      </c>
      <c r="C358" s="107" t="s">
        <v>575</v>
      </c>
      <c r="D358" s="85" t="s">
        <v>25</v>
      </c>
      <c r="E358" s="85">
        <v>7130354274</v>
      </c>
      <c r="F358" s="86">
        <v>1.78</v>
      </c>
      <c r="G358" s="86">
        <f>F358*1.033</f>
        <v>1.8387399999999998</v>
      </c>
      <c r="H358" s="86">
        <f>G358*18%</f>
        <v>0.33097319999999997</v>
      </c>
      <c r="I358" s="86">
        <f>G358+H358</f>
        <v>2.1697131999999999</v>
      </c>
      <c r="J358" s="87">
        <v>0.18</v>
      </c>
      <c r="K358" s="37"/>
    </row>
    <row r="359" spans="1:11" ht="17.25" customHeight="1">
      <c r="A359" s="318"/>
      <c r="B359" s="85">
        <v>2</v>
      </c>
      <c r="C359" s="107" t="s">
        <v>576</v>
      </c>
      <c r="D359" s="85" t="s">
        <v>25</v>
      </c>
      <c r="E359" s="85">
        <v>7130354275</v>
      </c>
      <c r="F359" s="86">
        <v>1.78</v>
      </c>
      <c r="G359" s="86">
        <f t="shared" ref="G359:G368" si="28">F359*1.033</f>
        <v>1.8387399999999998</v>
      </c>
      <c r="H359" s="86">
        <f>G359*18%</f>
        <v>0.33097319999999997</v>
      </c>
      <c r="I359" s="86">
        <f>G359+H359</f>
        <v>2.1697131999999999</v>
      </c>
      <c r="J359" s="87">
        <v>0.18</v>
      </c>
      <c r="K359" s="37"/>
    </row>
    <row r="360" spans="1:11" ht="17.25" customHeight="1">
      <c r="A360" s="318"/>
      <c r="B360" s="85">
        <v>3</v>
      </c>
      <c r="C360" s="107" t="s">
        <v>577</v>
      </c>
      <c r="D360" s="85" t="s">
        <v>25</v>
      </c>
      <c r="E360" s="85">
        <v>7130354276</v>
      </c>
      <c r="F360" s="86">
        <v>3.56</v>
      </c>
      <c r="G360" s="86">
        <f t="shared" si="28"/>
        <v>3.6774799999999996</v>
      </c>
      <c r="H360" s="86">
        <f t="shared" ref="H360:H368" si="29">G360*18%</f>
        <v>0.66194639999999993</v>
      </c>
      <c r="I360" s="86">
        <f t="shared" ref="I360:I368" si="30">G360+H360</f>
        <v>4.3394263999999998</v>
      </c>
      <c r="J360" s="87">
        <v>0.18</v>
      </c>
      <c r="K360" s="37"/>
    </row>
    <row r="361" spans="1:11" ht="17.25" customHeight="1">
      <c r="A361" s="318"/>
      <c r="B361" s="85">
        <v>4</v>
      </c>
      <c r="C361" s="107" t="s">
        <v>578</v>
      </c>
      <c r="D361" s="85" t="s">
        <v>25</v>
      </c>
      <c r="E361" s="85">
        <v>7130354277</v>
      </c>
      <c r="F361" s="86">
        <v>4.45</v>
      </c>
      <c r="G361" s="86">
        <f t="shared" si="28"/>
        <v>4.5968499999999999</v>
      </c>
      <c r="H361" s="86">
        <f t="shared" si="29"/>
        <v>0.82743299999999997</v>
      </c>
      <c r="I361" s="86">
        <f t="shared" si="30"/>
        <v>5.424283</v>
      </c>
      <c r="J361" s="87">
        <v>0.18</v>
      </c>
      <c r="K361" s="37"/>
    </row>
    <row r="362" spans="1:11" ht="17.25" customHeight="1">
      <c r="A362" s="318"/>
      <c r="B362" s="85">
        <v>5</v>
      </c>
      <c r="C362" s="107" t="s">
        <v>579</v>
      </c>
      <c r="D362" s="85" t="s">
        <v>25</v>
      </c>
      <c r="E362" s="85">
        <v>7130354278</v>
      </c>
      <c r="F362" s="86">
        <v>7.13</v>
      </c>
      <c r="G362" s="86">
        <f t="shared" si="28"/>
        <v>7.365289999999999</v>
      </c>
      <c r="H362" s="86">
        <f t="shared" si="29"/>
        <v>1.3257521999999997</v>
      </c>
      <c r="I362" s="86">
        <f t="shared" si="30"/>
        <v>8.6910421999999983</v>
      </c>
      <c r="J362" s="87">
        <v>0.18</v>
      </c>
      <c r="K362" s="37"/>
    </row>
    <row r="363" spans="1:11" ht="17.25" customHeight="1">
      <c r="A363" s="318"/>
      <c r="B363" s="85">
        <v>6</v>
      </c>
      <c r="C363" s="107" t="s">
        <v>580</v>
      </c>
      <c r="D363" s="85" t="s">
        <v>25</v>
      </c>
      <c r="E363" s="85">
        <v>7130354279</v>
      </c>
      <c r="F363" s="86">
        <v>10.69</v>
      </c>
      <c r="G363" s="86">
        <f t="shared" si="28"/>
        <v>11.042769999999999</v>
      </c>
      <c r="H363" s="86">
        <f t="shared" si="29"/>
        <v>1.9876985999999999</v>
      </c>
      <c r="I363" s="86">
        <f t="shared" si="30"/>
        <v>13.030468599999999</v>
      </c>
      <c r="J363" s="87">
        <v>0.18</v>
      </c>
      <c r="K363" s="37"/>
    </row>
    <row r="364" spans="1:11" ht="17.25" customHeight="1">
      <c r="A364" s="318"/>
      <c r="B364" s="85">
        <v>7</v>
      </c>
      <c r="C364" s="107" t="s">
        <v>581</v>
      </c>
      <c r="D364" s="85" t="s">
        <v>25</v>
      </c>
      <c r="E364" s="85">
        <v>7130354280</v>
      </c>
      <c r="F364" s="86">
        <v>13.36</v>
      </c>
      <c r="G364" s="86">
        <f t="shared" si="28"/>
        <v>13.800879999999998</v>
      </c>
      <c r="H364" s="86">
        <f t="shared" si="29"/>
        <v>2.4841583999999997</v>
      </c>
      <c r="I364" s="86">
        <f t="shared" si="30"/>
        <v>16.285038399999998</v>
      </c>
      <c r="J364" s="87">
        <v>0.18</v>
      </c>
      <c r="K364" s="37"/>
    </row>
    <row r="365" spans="1:11" ht="17.25" customHeight="1">
      <c r="A365" s="318"/>
      <c r="B365" s="85">
        <v>8</v>
      </c>
      <c r="C365" s="107" t="s">
        <v>582</v>
      </c>
      <c r="D365" s="85" t="s">
        <v>25</v>
      </c>
      <c r="E365" s="85">
        <v>7130354281</v>
      </c>
      <c r="F365" s="86">
        <v>18.71</v>
      </c>
      <c r="G365" s="86">
        <f>F365*1.033</f>
        <v>19.32743</v>
      </c>
      <c r="H365" s="86">
        <f t="shared" si="29"/>
        <v>3.4789374</v>
      </c>
      <c r="I365" s="86">
        <f t="shared" si="30"/>
        <v>22.806367399999999</v>
      </c>
      <c r="J365" s="87">
        <v>0.18</v>
      </c>
      <c r="K365" s="37"/>
    </row>
    <row r="366" spans="1:11" ht="17.25" customHeight="1">
      <c r="A366" s="318"/>
      <c r="B366" s="85">
        <v>9</v>
      </c>
      <c r="C366" s="107" t="s">
        <v>583</v>
      </c>
      <c r="D366" s="85" t="s">
        <v>25</v>
      </c>
      <c r="E366" s="85">
        <v>7130354282</v>
      </c>
      <c r="F366" s="86">
        <v>21.38</v>
      </c>
      <c r="G366" s="86">
        <f t="shared" si="28"/>
        <v>22.085539999999998</v>
      </c>
      <c r="H366" s="86">
        <f t="shared" si="29"/>
        <v>3.9753971999999997</v>
      </c>
      <c r="I366" s="86">
        <f t="shared" si="30"/>
        <v>26.060937199999998</v>
      </c>
      <c r="J366" s="87">
        <v>0.18</v>
      </c>
      <c r="K366" s="37"/>
    </row>
    <row r="367" spans="1:11" ht="17.25" customHeight="1">
      <c r="A367" s="318"/>
      <c r="B367" s="85">
        <v>10</v>
      </c>
      <c r="C367" s="107" t="s">
        <v>584</v>
      </c>
      <c r="D367" s="85" t="s">
        <v>25</v>
      </c>
      <c r="E367" s="85">
        <v>7130354283</v>
      </c>
      <c r="F367" s="86">
        <v>33.85</v>
      </c>
      <c r="G367" s="86">
        <f t="shared" si="28"/>
        <v>34.96705</v>
      </c>
      <c r="H367" s="86">
        <f t="shared" si="29"/>
        <v>6.2940689999999995</v>
      </c>
      <c r="I367" s="86">
        <f t="shared" si="30"/>
        <v>41.261119000000001</v>
      </c>
      <c r="J367" s="87">
        <v>0.18</v>
      </c>
      <c r="K367" s="37"/>
    </row>
    <row r="368" spans="1:11" ht="17.25" customHeight="1">
      <c r="A368" s="318"/>
      <c r="B368" s="85">
        <v>11</v>
      </c>
      <c r="C368" s="107" t="s">
        <v>585</v>
      </c>
      <c r="D368" s="85" t="s">
        <v>25</v>
      </c>
      <c r="E368" s="85">
        <v>7130354284</v>
      </c>
      <c r="F368" s="86">
        <v>38.299999999999997</v>
      </c>
      <c r="G368" s="86">
        <f t="shared" si="28"/>
        <v>39.563899999999997</v>
      </c>
      <c r="H368" s="86">
        <f t="shared" si="29"/>
        <v>7.1215019999999996</v>
      </c>
      <c r="I368" s="86">
        <f t="shared" si="30"/>
        <v>46.685401999999996</v>
      </c>
      <c r="J368" s="87">
        <v>0.18</v>
      </c>
      <c r="K368" s="37"/>
    </row>
    <row r="369" spans="1:11" ht="17.25" customHeight="1">
      <c r="A369" s="318"/>
      <c r="B369" s="85">
        <v>12</v>
      </c>
      <c r="C369" s="107" t="s">
        <v>586</v>
      </c>
      <c r="D369" s="85" t="s">
        <v>25</v>
      </c>
      <c r="E369" s="85">
        <v>7130354285</v>
      </c>
      <c r="F369" s="86">
        <v>55.23</v>
      </c>
      <c r="G369" s="86">
        <f>F369*1.033</f>
        <v>57.052589999999995</v>
      </c>
      <c r="H369" s="86">
        <f>G369*18%</f>
        <v>10.269466199999998</v>
      </c>
      <c r="I369" s="86">
        <f>G369+H369</f>
        <v>67.322056199999992</v>
      </c>
      <c r="J369" s="87">
        <v>0.18</v>
      </c>
      <c r="K369" s="37"/>
    </row>
    <row r="370" spans="1:11" ht="17.25" customHeight="1">
      <c r="A370" s="318"/>
      <c r="B370" s="85">
        <v>13</v>
      </c>
      <c r="C370" s="107" t="s">
        <v>587</v>
      </c>
      <c r="D370" s="85" t="s">
        <v>25</v>
      </c>
      <c r="E370" s="85">
        <v>7130354286</v>
      </c>
      <c r="F370" s="86">
        <v>65.03</v>
      </c>
      <c r="G370" s="86">
        <f>F370*1.033</f>
        <v>67.175989999999999</v>
      </c>
      <c r="H370" s="86">
        <f>G370*18%</f>
        <v>12.091678199999999</v>
      </c>
      <c r="I370" s="86">
        <f>G370+H370</f>
        <v>79.267668200000003</v>
      </c>
      <c r="J370" s="87">
        <v>0.18</v>
      </c>
      <c r="K370" s="37"/>
    </row>
    <row r="371" spans="1:11" ht="17.25" customHeight="1">
      <c r="A371" s="319"/>
      <c r="B371" s="85">
        <v>14</v>
      </c>
      <c r="C371" s="107" t="s">
        <v>588</v>
      </c>
      <c r="D371" s="85" t="s">
        <v>25</v>
      </c>
      <c r="E371" s="85">
        <v>7130354287</v>
      </c>
      <c r="F371" s="86">
        <v>83.74</v>
      </c>
      <c r="G371" s="86">
        <f>F371*1.033</f>
        <v>86.503419999999991</v>
      </c>
      <c r="H371" s="86">
        <f>G371*18%</f>
        <v>15.570615599999998</v>
      </c>
      <c r="I371" s="86">
        <f>G371+H371</f>
        <v>102.07403559999999</v>
      </c>
      <c r="J371" s="87">
        <v>0.18</v>
      </c>
      <c r="K371" s="37"/>
    </row>
    <row r="372" spans="1:11" ht="18.75" customHeight="1">
      <c r="A372" s="317">
        <v>106</v>
      </c>
      <c r="B372" s="95"/>
      <c r="C372" s="91" t="s">
        <v>656</v>
      </c>
      <c r="D372" s="96"/>
      <c r="E372" s="129"/>
      <c r="F372" s="96"/>
      <c r="G372" s="86"/>
      <c r="H372" s="86"/>
      <c r="I372" s="86"/>
      <c r="J372" s="96"/>
      <c r="K372" s="37"/>
    </row>
    <row r="373" spans="1:11" ht="18.75" customHeight="1">
      <c r="A373" s="318"/>
      <c r="B373" s="83" t="s">
        <v>8</v>
      </c>
      <c r="C373" s="107" t="s">
        <v>657</v>
      </c>
      <c r="D373" s="83" t="s">
        <v>2</v>
      </c>
      <c r="E373" s="83">
        <v>7131900033</v>
      </c>
      <c r="F373" s="86">
        <v>6.36</v>
      </c>
      <c r="G373" s="86">
        <f>F373*0.994</f>
        <v>6.3218399999999999</v>
      </c>
      <c r="H373" s="86">
        <f>G373*18%</f>
        <v>1.1379311999999999</v>
      </c>
      <c r="I373" s="86">
        <f>G373+H373</f>
        <v>7.4597711999999996</v>
      </c>
      <c r="J373" s="87">
        <v>0.18</v>
      </c>
      <c r="K373" s="183"/>
    </row>
    <row r="374" spans="1:11" ht="20.25" customHeight="1">
      <c r="A374" s="318"/>
      <c r="B374" s="83" t="s">
        <v>11</v>
      </c>
      <c r="C374" s="107" t="s">
        <v>658</v>
      </c>
      <c r="D374" s="83" t="s">
        <v>2</v>
      </c>
      <c r="E374" s="83">
        <v>7131900625</v>
      </c>
      <c r="F374" s="86">
        <v>10.9</v>
      </c>
      <c r="G374" s="86">
        <f>F374*0.994</f>
        <v>10.8346</v>
      </c>
      <c r="H374" s="86">
        <f>G374*18%</f>
        <v>1.9502279999999999</v>
      </c>
      <c r="I374" s="86">
        <f>G374+H374</f>
        <v>12.784827999999999</v>
      </c>
      <c r="J374" s="87">
        <v>0.18</v>
      </c>
      <c r="K374" s="198"/>
    </row>
    <row r="375" spans="1:11" ht="21.75" customHeight="1">
      <c r="A375" s="319"/>
      <c r="B375" s="83" t="s">
        <v>32</v>
      </c>
      <c r="C375" s="107" t="s">
        <v>659</v>
      </c>
      <c r="D375" s="83" t="s">
        <v>2</v>
      </c>
      <c r="E375" s="83">
        <v>7131900650</v>
      </c>
      <c r="F375" s="86">
        <v>11.81</v>
      </c>
      <c r="G375" s="86">
        <f>F375*0.994</f>
        <v>11.739140000000001</v>
      </c>
      <c r="H375" s="86">
        <f>G375*18%</f>
        <v>2.1130452000000002</v>
      </c>
      <c r="I375" s="86">
        <f>G375+H375</f>
        <v>13.852185200000001</v>
      </c>
      <c r="J375" s="87">
        <v>0.18</v>
      </c>
      <c r="K375" s="198"/>
    </row>
    <row r="376" spans="1:11" ht="18" customHeight="1">
      <c r="A376" s="317">
        <v>107</v>
      </c>
      <c r="B376" s="83"/>
      <c r="C376" s="91" t="s">
        <v>660</v>
      </c>
      <c r="D376" s="83"/>
      <c r="E376" s="83"/>
      <c r="F376" s="86"/>
      <c r="G376" s="86"/>
      <c r="H376" s="86"/>
      <c r="I376" s="86"/>
      <c r="J376" s="87"/>
      <c r="K376" s="37"/>
    </row>
    <row r="377" spans="1:11" ht="21" customHeight="1">
      <c r="A377" s="319"/>
      <c r="B377" s="83" t="s">
        <v>180</v>
      </c>
      <c r="C377" s="107" t="s">
        <v>668</v>
      </c>
      <c r="D377" s="83" t="s">
        <v>48</v>
      </c>
      <c r="E377" s="83">
        <v>7131900974</v>
      </c>
      <c r="F377" s="86">
        <f>483.75+5.44</f>
        <v>489.19</v>
      </c>
      <c r="G377" s="86">
        <f>F377*1</f>
        <v>489.19</v>
      </c>
      <c r="H377" s="86">
        <f t="shared" ref="H377:H383" si="31">G377*18%</f>
        <v>88.054199999999994</v>
      </c>
      <c r="I377" s="86">
        <f t="shared" ref="I377:I383" si="32">G377+H377</f>
        <v>577.24419999999998</v>
      </c>
      <c r="J377" s="87">
        <v>0.18</v>
      </c>
      <c r="K377" s="37"/>
    </row>
    <row r="378" spans="1:11" ht="15.75" customHeight="1">
      <c r="A378" s="85">
        <v>108</v>
      </c>
      <c r="B378" s="165"/>
      <c r="C378" s="107" t="s">
        <v>669</v>
      </c>
      <c r="D378" s="83" t="s">
        <v>2</v>
      </c>
      <c r="E378" s="85">
        <v>7130810624</v>
      </c>
      <c r="F378" s="86">
        <v>76.150000000000006</v>
      </c>
      <c r="G378" s="86">
        <f>F378*1.045</f>
        <v>79.576750000000004</v>
      </c>
      <c r="H378" s="86">
        <f t="shared" si="31"/>
        <v>14.323815</v>
      </c>
      <c r="I378" s="86">
        <f t="shared" si="32"/>
        <v>93.900565</v>
      </c>
      <c r="J378" s="87">
        <v>0.18</v>
      </c>
      <c r="K378" s="37"/>
    </row>
    <row r="379" spans="1:11" ht="20.25" customHeight="1">
      <c r="A379" s="85">
        <v>109</v>
      </c>
      <c r="B379" s="165"/>
      <c r="C379" s="107" t="s">
        <v>670</v>
      </c>
      <c r="D379" s="83" t="s">
        <v>2</v>
      </c>
      <c r="E379" s="85">
        <v>7130810076</v>
      </c>
      <c r="F379" s="86">
        <v>57.55</v>
      </c>
      <c r="G379" s="86">
        <f>F379*1.045</f>
        <v>60.139749999999992</v>
      </c>
      <c r="H379" s="86">
        <f t="shared" si="31"/>
        <v>10.825154999999999</v>
      </c>
      <c r="I379" s="86">
        <f t="shared" si="32"/>
        <v>70.964904999999987</v>
      </c>
      <c r="J379" s="87">
        <v>0.18</v>
      </c>
      <c r="K379" s="37"/>
    </row>
    <row r="380" spans="1:11" ht="29.25" customHeight="1">
      <c r="A380" s="85">
        <v>110</v>
      </c>
      <c r="B380" s="165"/>
      <c r="C380" s="84" t="s">
        <v>671</v>
      </c>
      <c r="D380" s="83" t="s">
        <v>60</v>
      </c>
      <c r="E380" s="175">
        <v>7130642041</v>
      </c>
      <c r="F380" s="86">
        <v>3536.99</v>
      </c>
      <c r="G380" s="86">
        <f>F380*1.034</f>
        <v>3657.24766</v>
      </c>
      <c r="H380" s="86">
        <f t="shared" si="31"/>
        <v>658.30457879999994</v>
      </c>
      <c r="I380" s="86">
        <f t="shared" si="32"/>
        <v>4315.5522387999999</v>
      </c>
      <c r="J380" s="87">
        <v>0.18</v>
      </c>
      <c r="K380" s="37"/>
    </row>
    <row r="381" spans="1:11" ht="55.5" customHeight="1">
      <c r="A381" s="85">
        <v>111</v>
      </c>
      <c r="B381" s="165"/>
      <c r="C381" s="84" t="s">
        <v>672</v>
      </c>
      <c r="D381" s="83" t="s">
        <v>60</v>
      </c>
      <c r="E381" s="175">
        <v>7130642039</v>
      </c>
      <c r="F381" s="86">
        <v>695.9</v>
      </c>
      <c r="G381" s="86">
        <f>F381*1.034</f>
        <v>719.56060000000002</v>
      </c>
      <c r="H381" s="86">
        <f t="shared" si="31"/>
        <v>129.52090799999999</v>
      </c>
      <c r="I381" s="86">
        <f t="shared" si="32"/>
        <v>849.08150799999999</v>
      </c>
      <c r="J381" s="87">
        <v>0.18</v>
      </c>
      <c r="K381" s="37"/>
    </row>
    <row r="382" spans="1:11" ht="31.5" customHeight="1">
      <c r="A382" s="85">
        <v>112</v>
      </c>
      <c r="B382" s="165"/>
      <c r="C382" s="176" t="s">
        <v>72</v>
      </c>
      <c r="D382" s="152" t="s">
        <v>57</v>
      </c>
      <c r="E382" s="175">
        <v>7130890973</v>
      </c>
      <c r="F382" s="86">
        <v>49.96</v>
      </c>
      <c r="G382" s="86">
        <f>F382*1</f>
        <v>49.96</v>
      </c>
      <c r="H382" s="86">
        <f t="shared" si="31"/>
        <v>8.992799999999999</v>
      </c>
      <c r="I382" s="86">
        <f t="shared" si="32"/>
        <v>58.952799999999996</v>
      </c>
      <c r="J382" s="87">
        <v>0.18</v>
      </c>
      <c r="K382" s="37"/>
    </row>
    <row r="383" spans="1:11" ht="17.25" customHeight="1">
      <c r="A383" s="85">
        <v>113</v>
      </c>
      <c r="B383" s="165"/>
      <c r="C383" s="176" t="s">
        <v>73</v>
      </c>
      <c r="D383" s="152" t="s">
        <v>2</v>
      </c>
      <c r="E383" s="175">
        <v>7132011171</v>
      </c>
      <c r="F383" s="86">
        <v>417.83</v>
      </c>
      <c r="G383" s="86">
        <f>F383*1</f>
        <v>417.83</v>
      </c>
      <c r="H383" s="86">
        <f t="shared" si="31"/>
        <v>75.209399999999988</v>
      </c>
      <c r="I383" s="86">
        <f t="shared" si="32"/>
        <v>493.0394</v>
      </c>
      <c r="J383" s="87">
        <v>0.18</v>
      </c>
      <c r="K383" s="37"/>
    </row>
    <row r="384" spans="1:11" ht="18" customHeight="1">
      <c r="A384" s="320">
        <v>114</v>
      </c>
      <c r="B384" s="104"/>
      <c r="C384" s="130" t="s">
        <v>673</v>
      </c>
      <c r="D384" s="131"/>
      <c r="E384" s="132"/>
      <c r="F384" s="133"/>
      <c r="G384" s="86"/>
      <c r="H384" s="86"/>
      <c r="I384" s="86"/>
      <c r="J384" s="133"/>
      <c r="K384" s="37"/>
    </row>
    <row r="385" spans="1:11" ht="30.75" customHeight="1">
      <c r="A385" s="321"/>
      <c r="B385" s="83" t="s">
        <v>8</v>
      </c>
      <c r="C385" s="135" t="s">
        <v>674</v>
      </c>
      <c r="D385" s="134" t="s">
        <v>1</v>
      </c>
      <c r="E385" s="95"/>
      <c r="F385" s="88">
        <v>35912.85</v>
      </c>
      <c r="G385" s="86">
        <f>F385*1</f>
        <v>35912.85</v>
      </c>
      <c r="H385" s="86">
        <f>G385*18%</f>
        <v>6464.3129999999992</v>
      </c>
      <c r="I385" s="86">
        <f>G385+H385</f>
        <v>42377.163</v>
      </c>
      <c r="J385" s="87">
        <v>0.18</v>
      </c>
      <c r="K385" s="37"/>
    </row>
    <row r="386" spans="1:11" ht="19.5" customHeight="1">
      <c r="A386" s="321"/>
      <c r="B386" s="83" t="s">
        <v>11</v>
      </c>
      <c r="C386" s="135" t="s">
        <v>74</v>
      </c>
      <c r="D386" s="134" t="s">
        <v>1</v>
      </c>
      <c r="E386" s="95"/>
      <c r="F386" s="88">
        <v>78283.22</v>
      </c>
      <c r="G386" s="86">
        <f>F386*1</f>
        <v>78283.22</v>
      </c>
      <c r="H386" s="86">
        <f>G386*18%</f>
        <v>14090.979600000001</v>
      </c>
      <c r="I386" s="86">
        <f>G386+H386</f>
        <v>92374.199600000007</v>
      </c>
      <c r="J386" s="87">
        <v>0.18</v>
      </c>
    </row>
    <row r="387" spans="1:11" ht="19.5" customHeight="1">
      <c r="A387" s="326"/>
      <c r="B387" s="83" t="s">
        <v>32</v>
      </c>
      <c r="C387" s="135" t="s">
        <v>75</v>
      </c>
      <c r="D387" s="134" t="s">
        <v>1</v>
      </c>
      <c r="E387" s="83"/>
      <c r="F387" s="88">
        <v>253254.9</v>
      </c>
      <c r="G387" s="86">
        <f>F387*1</f>
        <v>253254.9</v>
      </c>
      <c r="H387" s="86">
        <f>G387*18%</f>
        <v>45585.881999999998</v>
      </c>
      <c r="I387" s="86">
        <f>G387+H387</f>
        <v>298840.78200000001</v>
      </c>
      <c r="J387" s="87">
        <v>0.18</v>
      </c>
    </row>
    <row r="388" spans="1:11" ht="29.25" customHeight="1">
      <c r="A388" s="320">
        <v>117</v>
      </c>
      <c r="B388" s="76" t="s">
        <v>27</v>
      </c>
      <c r="C388" s="130" t="s">
        <v>675</v>
      </c>
      <c r="D388" s="177"/>
      <c r="E388" s="132"/>
      <c r="F388" s="133"/>
      <c r="G388" s="86"/>
      <c r="H388" s="86"/>
      <c r="I388" s="86"/>
      <c r="J388" s="133"/>
    </row>
    <row r="389" spans="1:11" ht="40.5" customHeight="1">
      <c r="A389" s="321"/>
      <c r="B389" s="134" t="s">
        <v>8</v>
      </c>
      <c r="C389" s="135" t="s">
        <v>676</v>
      </c>
      <c r="D389" s="85" t="s">
        <v>1</v>
      </c>
      <c r="E389" s="175">
        <v>7131941763</v>
      </c>
      <c r="F389" s="85">
        <v>644403.49</v>
      </c>
      <c r="G389" s="86">
        <f t="shared" ref="G389:G394" si="33">F389*1</f>
        <v>644403.49</v>
      </c>
      <c r="H389" s="86">
        <f t="shared" ref="H389:H394" si="34">G389*18%</f>
        <v>115992.62819999999</v>
      </c>
      <c r="I389" s="86">
        <f t="shared" ref="I389:I394" si="35">G389+H389</f>
        <v>760396.11820000003</v>
      </c>
      <c r="J389" s="87">
        <v>0.18</v>
      </c>
    </row>
    <row r="390" spans="1:11" ht="40.5" customHeight="1">
      <c r="A390" s="321"/>
      <c r="B390" s="134" t="s">
        <v>11</v>
      </c>
      <c r="C390" s="135" t="s">
        <v>677</v>
      </c>
      <c r="D390" s="85" t="s">
        <v>1</v>
      </c>
      <c r="E390" s="175">
        <v>7131941764</v>
      </c>
      <c r="F390" s="85">
        <v>915355.12</v>
      </c>
      <c r="G390" s="86">
        <f t="shared" si="33"/>
        <v>915355.12</v>
      </c>
      <c r="H390" s="86">
        <f t="shared" si="34"/>
        <v>164763.9216</v>
      </c>
      <c r="I390" s="86">
        <f t="shared" si="35"/>
        <v>1080119.0416000001</v>
      </c>
      <c r="J390" s="87">
        <v>0.18</v>
      </c>
    </row>
    <row r="391" spans="1:11" ht="40.5" customHeight="1">
      <c r="A391" s="321"/>
      <c r="B391" s="134" t="s">
        <v>32</v>
      </c>
      <c r="C391" s="135" t="s">
        <v>678</v>
      </c>
      <c r="D391" s="85" t="s">
        <v>1</v>
      </c>
      <c r="E391" s="175">
        <v>7131941765</v>
      </c>
      <c r="F391" s="85">
        <v>1181480.6100000001</v>
      </c>
      <c r="G391" s="86">
        <f t="shared" si="33"/>
        <v>1181480.6100000001</v>
      </c>
      <c r="H391" s="86">
        <f t="shared" si="34"/>
        <v>212666.5098</v>
      </c>
      <c r="I391" s="86">
        <f t="shared" si="35"/>
        <v>1394147.1198</v>
      </c>
      <c r="J391" s="87">
        <v>0.18</v>
      </c>
    </row>
    <row r="392" spans="1:11" ht="40.5" customHeight="1">
      <c r="A392" s="321"/>
      <c r="B392" s="134" t="s">
        <v>15</v>
      </c>
      <c r="C392" s="135" t="s">
        <v>679</v>
      </c>
      <c r="D392" s="85" t="s">
        <v>1</v>
      </c>
      <c r="E392" s="175">
        <v>7131941766</v>
      </c>
      <c r="F392" s="86">
        <v>1447606.1</v>
      </c>
      <c r="G392" s="86">
        <f t="shared" si="33"/>
        <v>1447606.1</v>
      </c>
      <c r="H392" s="86">
        <f t="shared" si="34"/>
        <v>260569.098</v>
      </c>
      <c r="I392" s="86">
        <f t="shared" si="35"/>
        <v>1708175.1980000001</v>
      </c>
      <c r="J392" s="87">
        <v>0.18</v>
      </c>
    </row>
    <row r="393" spans="1:11" ht="16.5" customHeight="1">
      <c r="A393" s="321"/>
      <c r="B393" s="134" t="s">
        <v>88</v>
      </c>
      <c r="C393" s="135" t="s">
        <v>680</v>
      </c>
      <c r="D393" s="85" t="s">
        <v>1</v>
      </c>
      <c r="E393" s="175">
        <v>7131941767</v>
      </c>
      <c r="F393" s="85">
        <v>231869.28</v>
      </c>
      <c r="G393" s="86">
        <f t="shared" si="33"/>
        <v>231869.28</v>
      </c>
      <c r="H393" s="86">
        <f t="shared" si="34"/>
        <v>41736.470399999998</v>
      </c>
      <c r="I393" s="86">
        <f t="shared" si="35"/>
        <v>273605.75040000002</v>
      </c>
      <c r="J393" s="87">
        <v>0.18</v>
      </c>
    </row>
    <row r="394" spans="1:11" ht="18.75" customHeight="1">
      <c r="A394" s="321"/>
      <c r="B394" s="134" t="s">
        <v>108</v>
      </c>
      <c r="C394" s="135" t="s">
        <v>681</v>
      </c>
      <c r="D394" s="85" t="s">
        <v>1</v>
      </c>
      <c r="E394" s="175">
        <v>7131941768</v>
      </c>
      <c r="F394" s="85">
        <v>270951.63</v>
      </c>
      <c r="G394" s="86">
        <f t="shared" si="33"/>
        <v>270951.63</v>
      </c>
      <c r="H394" s="86">
        <f t="shared" si="34"/>
        <v>48771.293400000002</v>
      </c>
      <c r="I394" s="86">
        <f t="shared" si="35"/>
        <v>319722.92340000003</v>
      </c>
      <c r="J394" s="87">
        <v>0.18</v>
      </c>
    </row>
    <row r="395" spans="1:11" ht="31.5" customHeight="1">
      <c r="A395" s="321"/>
      <c r="B395" s="76" t="s">
        <v>18</v>
      </c>
      <c r="C395" s="130" t="s">
        <v>682</v>
      </c>
      <c r="D395" s="89"/>
      <c r="E395" s="132"/>
      <c r="F395" s="89"/>
      <c r="G395" s="86"/>
      <c r="H395" s="86"/>
      <c r="I395" s="86"/>
      <c r="J395" s="89"/>
    </row>
    <row r="396" spans="1:11" ht="43.5" customHeight="1">
      <c r="A396" s="321"/>
      <c r="B396" s="85" t="s">
        <v>8</v>
      </c>
      <c r="C396" s="107" t="s">
        <v>683</v>
      </c>
      <c r="D396" s="83" t="s">
        <v>2</v>
      </c>
      <c r="E396" s="94">
        <v>7131980004</v>
      </c>
      <c r="F396" s="86">
        <v>195844.78</v>
      </c>
      <c r="G396" s="86">
        <f>F396*1</f>
        <v>195844.78</v>
      </c>
      <c r="H396" s="86">
        <f>G396*18%</f>
        <v>35252.060400000002</v>
      </c>
      <c r="I396" s="86">
        <f>G396+H396</f>
        <v>231096.84039999999</v>
      </c>
      <c r="J396" s="87">
        <v>0.18</v>
      </c>
    </row>
    <row r="397" spans="1:11" ht="43.5" customHeight="1">
      <c r="A397" s="321"/>
      <c r="B397" s="85" t="s">
        <v>11</v>
      </c>
      <c r="C397" s="107" t="s">
        <v>684</v>
      </c>
      <c r="D397" s="83" t="s">
        <v>2</v>
      </c>
      <c r="E397" s="94">
        <v>7131980005</v>
      </c>
      <c r="F397" s="86">
        <v>362142.88</v>
      </c>
      <c r="G397" s="86">
        <f>F397*1</f>
        <v>362142.88</v>
      </c>
      <c r="H397" s="86">
        <f>G397*18%</f>
        <v>65185.718399999998</v>
      </c>
      <c r="I397" s="86">
        <f>G397+H397</f>
        <v>427328.59840000002</v>
      </c>
      <c r="J397" s="87">
        <v>0.18</v>
      </c>
    </row>
    <row r="398" spans="1:11" ht="43.5" customHeight="1">
      <c r="A398" s="321"/>
      <c r="B398" s="85" t="s">
        <v>32</v>
      </c>
      <c r="C398" s="107" t="s">
        <v>685</v>
      </c>
      <c r="D398" s="83" t="s">
        <v>2</v>
      </c>
      <c r="E398" s="94">
        <v>7131980006</v>
      </c>
      <c r="F398" s="86">
        <v>439379.05</v>
      </c>
      <c r="G398" s="86">
        <f>F398*1</f>
        <v>439379.05</v>
      </c>
      <c r="H398" s="86">
        <f>G398*18%</f>
        <v>79088.228999999992</v>
      </c>
      <c r="I398" s="86">
        <f>G398+H398</f>
        <v>518467.27899999998</v>
      </c>
      <c r="J398" s="87">
        <v>0.18</v>
      </c>
    </row>
    <row r="399" spans="1:11" ht="69" customHeight="1">
      <c r="A399" s="321"/>
      <c r="B399" s="85" t="s">
        <v>15</v>
      </c>
      <c r="C399" s="107" t="s">
        <v>686</v>
      </c>
      <c r="D399" s="83" t="s">
        <v>2</v>
      </c>
      <c r="E399" s="94">
        <v>7131980007</v>
      </c>
      <c r="F399" s="86">
        <v>700146.75</v>
      </c>
      <c r="G399" s="86">
        <f>F399*1</f>
        <v>700146.75</v>
      </c>
      <c r="H399" s="86">
        <f>G399*18%</f>
        <v>126026.41499999999</v>
      </c>
      <c r="I399" s="86">
        <f>G399+H399</f>
        <v>826173.16500000004</v>
      </c>
      <c r="J399" s="87">
        <v>0.18</v>
      </c>
    </row>
    <row r="400" spans="1:11" ht="82.5" customHeight="1">
      <c r="A400" s="326"/>
      <c r="B400" s="85" t="s">
        <v>88</v>
      </c>
      <c r="C400" s="107" t="s">
        <v>687</v>
      </c>
      <c r="D400" s="83" t="s">
        <v>2</v>
      </c>
      <c r="E400" s="94">
        <v>7131980008</v>
      </c>
      <c r="F400" s="86">
        <v>1107263.44</v>
      </c>
      <c r="G400" s="86">
        <f>F400*1</f>
        <v>1107263.44</v>
      </c>
      <c r="H400" s="86">
        <f>G400*18%</f>
        <v>199307.41919999997</v>
      </c>
      <c r="I400" s="86">
        <f>G400+H400</f>
        <v>1306570.8591999998</v>
      </c>
      <c r="J400" s="87">
        <v>0.18</v>
      </c>
    </row>
    <row r="401" spans="1:10">
      <c r="A401" s="325">
        <v>118</v>
      </c>
      <c r="B401" s="178"/>
      <c r="C401" s="107" t="s">
        <v>767</v>
      </c>
      <c r="D401" s="74"/>
      <c r="E401" s="115"/>
      <c r="F401" s="115"/>
      <c r="G401" s="115"/>
      <c r="H401" s="115"/>
      <c r="I401" s="115"/>
      <c r="J401" s="115"/>
    </row>
    <row r="402" spans="1:10" ht="44.25" customHeight="1">
      <c r="A402" s="325"/>
      <c r="B402" s="147" t="s">
        <v>8</v>
      </c>
      <c r="C402" s="107" t="s">
        <v>768</v>
      </c>
      <c r="D402" s="83" t="s">
        <v>57</v>
      </c>
      <c r="E402" s="179"/>
      <c r="F402" s="179"/>
      <c r="G402" s="86">
        <v>48390.8</v>
      </c>
      <c r="H402" s="86">
        <f>G402*J402</f>
        <v>8710.344000000001</v>
      </c>
      <c r="I402" s="86">
        <f>G402+H402</f>
        <v>57101.144</v>
      </c>
      <c r="J402" s="87">
        <v>0.18</v>
      </c>
    </row>
    <row r="403" spans="1:10" ht="44.25" customHeight="1">
      <c r="A403" s="325"/>
      <c r="B403" s="147" t="s">
        <v>11</v>
      </c>
      <c r="C403" s="107" t="s">
        <v>769</v>
      </c>
      <c r="D403" s="83" t="s">
        <v>60</v>
      </c>
      <c r="E403" s="179"/>
      <c r="F403" s="179"/>
      <c r="G403" s="86">
        <v>54189.2</v>
      </c>
      <c r="H403" s="86">
        <f>G403*J403</f>
        <v>9754.0559999999987</v>
      </c>
      <c r="I403" s="86">
        <f>G403+H403</f>
        <v>63943.255999999994</v>
      </c>
      <c r="J403" s="87">
        <v>0.18</v>
      </c>
    </row>
    <row r="404" spans="1:10">
      <c r="A404" s="37"/>
      <c r="B404" s="37"/>
      <c r="C404" s="37"/>
      <c r="D404" s="37"/>
      <c r="E404" s="37"/>
      <c r="F404" s="37"/>
      <c r="G404" s="37"/>
      <c r="H404" s="37"/>
      <c r="I404" s="37"/>
    </row>
    <row r="405" spans="1:10">
      <c r="A405" s="37"/>
      <c r="B405" s="37"/>
      <c r="C405" s="37"/>
      <c r="D405" s="37"/>
      <c r="E405" s="37"/>
      <c r="F405" s="37"/>
      <c r="G405" s="37"/>
      <c r="H405" s="37"/>
      <c r="I405" s="37"/>
    </row>
  </sheetData>
  <mergeCells count="66">
    <mergeCell ref="A76:A78"/>
    <mergeCell ref="B1:I1"/>
    <mergeCell ref="K58:L58"/>
    <mergeCell ref="A174:A184"/>
    <mergeCell ref="A185:A188"/>
    <mergeCell ref="I2:J2"/>
    <mergeCell ref="I3:J3"/>
    <mergeCell ref="G4:I4"/>
    <mergeCell ref="B6:C6"/>
    <mergeCell ref="D4:D5"/>
    <mergeCell ref="E4:E5"/>
    <mergeCell ref="F4:F5"/>
    <mergeCell ref="A83:A86"/>
    <mergeCell ref="A14:A16"/>
    <mergeCell ref="A10:A11"/>
    <mergeCell ref="A17:A19"/>
    <mergeCell ref="A79:A81"/>
    <mergeCell ref="A20:A22"/>
    <mergeCell ref="A49:A62"/>
    <mergeCell ref="A249:A250"/>
    <mergeCell ref="A251:A252"/>
    <mergeCell ref="A216:A225"/>
    <mergeCell ref="A151:A155"/>
    <mergeCell ref="A88:A108"/>
    <mergeCell ref="A189:A207"/>
    <mergeCell ref="A116:A150"/>
    <mergeCell ref="A156:A168"/>
    <mergeCell ref="A169:A173"/>
    <mergeCell ref="A26:A28"/>
    <mergeCell ref="A34:A39"/>
    <mergeCell ref="A40:A47"/>
    <mergeCell ref="A63:A67"/>
    <mergeCell ref="A4:A5"/>
    <mergeCell ref="B4:C5"/>
    <mergeCell ref="A68:A70"/>
    <mergeCell ref="A73:A75"/>
    <mergeCell ref="A7:A9"/>
    <mergeCell ref="A12:A13"/>
    <mergeCell ref="A29:A33"/>
    <mergeCell ref="A23:A25"/>
    <mergeCell ref="A256:A258"/>
    <mergeCell ref="A264:A267"/>
    <mergeCell ref="A296:A301"/>
    <mergeCell ref="A302:A305"/>
    <mergeCell ref="A259:A263"/>
    <mergeCell ref="A351:A355"/>
    <mergeCell ref="A109:A115"/>
    <mergeCell ref="A269:A295"/>
    <mergeCell ref="A376:A377"/>
    <mergeCell ref="A333:A337"/>
    <mergeCell ref="A325:A327"/>
    <mergeCell ref="A319:A324"/>
    <mergeCell ref="A338:A341"/>
    <mergeCell ref="A312:A317"/>
    <mergeCell ref="A329:A332"/>
    <mergeCell ref="A306:A311"/>
    <mergeCell ref="A342:A350"/>
    <mergeCell ref="A208:A215"/>
    <mergeCell ref="A226:A239"/>
    <mergeCell ref="A241:A248"/>
    <mergeCell ref="A253:A255"/>
    <mergeCell ref="A401:A403"/>
    <mergeCell ref="A388:A400"/>
    <mergeCell ref="A357:A371"/>
    <mergeCell ref="A372:A375"/>
    <mergeCell ref="A384:A387"/>
  </mergeCells>
  <pageMargins left="0.78" right="0" top="0.72" bottom="0.34" header="0.51" footer="0.15"/>
  <pageSetup paperSize="9" scale="11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98"/>
  <sheetViews>
    <sheetView workbookViewId="0">
      <selection activeCell="M5" sqref="M5"/>
    </sheetView>
  </sheetViews>
  <sheetFormatPr defaultRowHeight="12.75"/>
  <cols>
    <col min="1" max="1" width="5" style="1" customWidth="1"/>
    <col min="2" max="2" width="5.140625" style="1" customWidth="1"/>
    <col min="3" max="3" width="37.7109375" style="1" customWidth="1"/>
    <col min="4" max="4" width="6" style="1" customWidth="1"/>
    <col min="5" max="5" width="13.42578125" style="3" customWidth="1"/>
    <col min="6" max="6" width="13" style="3" customWidth="1"/>
    <col min="7" max="7" width="12.28515625" style="3" customWidth="1"/>
    <col min="8" max="8" width="8.5703125" style="3" customWidth="1"/>
    <col min="9" max="9" width="19.85546875" style="3" customWidth="1"/>
    <col min="10" max="10" width="6" style="1" customWidth="1"/>
    <col min="11" max="16384" width="9.140625" style="1"/>
  </cols>
  <sheetData>
    <row r="1" spans="1:10" ht="18">
      <c r="A1" s="4"/>
      <c r="B1" s="339" t="s">
        <v>774</v>
      </c>
      <c r="C1" s="339"/>
      <c r="D1" s="339"/>
      <c r="E1" s="339"/>
      <c r="F1" s="339"/>
      <c r="G1" s="339"/>
      <c r="H1" s="339"/>
      <c r="I1" s="5"/>
    </row>
    <row r="2" spans="1:10" s="6" customFormat="1" ht="17.25" customHeight="1">
      <c r="A2" s="41"/>
      <c r="H2" s="350" t="s">
        <v>717</v>
      </c>
      <c r="I2" s="350"/>
    </row>
    <row r="3" spans="1:10" s="6" customFormat="1" ht="15">
      <c r="A3" s="41"/>
      <c r="B3" s="41"/>
      <c r="C3" s="41"/>
      <c r="D3" s="43"/>
      <c r="E3" s="43"/>
      <c r="F3" s="42"/>
      <c r="G3" s="42"/>
      <c r="H3" s="351" t="s">
        <v>92</v>
      </c>
      <c r="I3" s="351"/>
    </row>
    <row r="4" spans="1:10" s="6" customFormat="1" ht="15" customHeight="1">
      <c r="A4" s="337" t="s">
        <v>91</v>
      </c>
      <c r="B4" s="312" t="s">
        <v>6</v>
      </c>
      <c r="C4" s="314"/>
      <c r="D4" s="359" t="s">
        <v>1</v>
      </c>
      <c r="E4" s="359" t="s">
        <v>0</v>
      </c>
      <c r="F4" s="337" t="s">
        <v>704</v>
      </c>
      <c r="G4" s="352" t="s">
        <v>775</v>
      </c>
      <c r="H4" s="352"/>
      <c r="I4" s="352"/>
      <c r="J4" s="314" t="s">
        <v>692</v>
      </c>
    </row>
    <row r="5" spans="1:10" s="6" customFormat="1" ht="72" customHeight="1">
      <c r="A5" s="338"/>
      <c r="B5" s="343"/>
      <c r="C5" s="344"/>
      <c r="D5" s="359"/>
      <c r="E5" s="359"/>
      <c r="F5" s="338"/>
      <c r="G5" s="47" t="s">
        <v>701</v>
      </c>
      <c r="H5" s="47" t="s">
        <v>95</v>
      </c>
      <c r="I5" s="39" t="s">
        <v>712</v>
      </c>
      <c r="J5" s="344"/>
    </row>
    <row r="6" spans="1:10" s="6" customFormat="1" ht="15">
      <c r="A6" s="38">
        <v>1</v>
      </c>
      <c r="B6" s="315">
        <v>2</v>
      </c>
      <c r="C6" s="345"/>
      <c r="D6" s="56">
        <v>3</v>
      </c>
      <c r="E6" s="56">
        <v>4</v>
      </c>
      <c r="F6" s="56">
        <v>5</v>
      </c>
      <c r="G6" s="56">
        <v>6</v>
      </c>
      <c r="H6" s="56">
        <v>7</v>
      </c>
      <c r="I6" s="56">
        <v>8</v>
      </c>
      <c r="J6" s="56">
        <v>9</v>
      </c>
    </row>
    <row r="7" spans="1:10" s="6" customFormat="1" ht="21.75" customHeight="1">
      <c r="A7" s="346">
        <v>10</v>
      </c>
      <c r="B7" s="201"/>
      <c r="C7" s="202" t="s">
        <v>723</v>
      </c>
      <c r="D7" s="203"/>
      <c r="E7" s="203"/>
      <c r="F7" s="203"/>
      <c r="G7" s="203"/>
      <c r="H7" s="203"/>
      <c r="I7" s="203"/>
      <c r="J7" s="204"/>
    </row>
    <row r="8" spans="1:10" s="6" customFormat="1" ht="18" customHeight="1">
      <c r="A8" s="347"/>
      <c r="B8" s="205" t="s">
        <v>8</v>
      </c>
      <c r="C8" s="206" t="s">
        <v>136</v>
      </c>
      <c r="D8" s="207" t="s">
        <v>5</v>
      </c>
      <c r="E8" s="208">
        <v>7130800012</v>
      </c>
      <c r="F8" s="209">
        <v>1560</v>
      </c>
      <c r="G8" s="210">
        <v>2255.1999999999998</v>
      </c>
      <c r="H8" s="210"/>
      <c r="I8" s="209">
        <v>2255.1999999999998</v>
      </c>
      <c r="J8" s="211"/>
    </row>
    <row r="9" spans="1:10" s="6" customFormat="1" ht="18" customHeight="1">
      <c r="A9" s="347"/>
      <c r="B9" s="205" t="s">
        <v>11</v>
      </c>
      <c r="C9" s="212" t="s">
        <v>14</v>
      </c>
      <c r="D9" s="205" t="s">
        <v>5</v>
      </c>
      <c r="E9" s="205">
        <v>7130800033</v>
      </c>
      <c r="F9" s="213">
        <v>1674.29</v>
      </c>
      <c r="G9" s="214">
        <v>2552.9499999999998</v>
      </c>
      <c r="H9" s="214"/>
      <c r="I9" s="214">
        <v>2552.9499999999998</v>
      </c>
      <c r="J9" s="215"/>
    </row>
    <row r="10" spans="1:10" s="6" customFormat="1" ht="18" customHeight="1">
      <c r="A10" s="347"/>
      <c r="B10" s="205" t="s">
        <v>32</v>
      </c>
      <c r="C10" s="212" t="s">
        <v>137</v>
      </c>
      <c r="D10" s="205" t="s">
        <v>5</v>
      </c>
      <c r="E10" s="205">
        <v>7130800001</v>
      </c>
      <c r="F10" s="213">
        <v>2063.81</v>
      </c>
      <c r="G10" s="214">
        <v>3046.2</v>
      </c>
      <c r="H10" s="214"/>
      <c r="I10" s="214">
        <v>3046.2</v>
      </c>
      <c r="J10" s="215"/>
    </row>
    <row r="11" spans="1:10" s="6" customFormat="1" ht="18" customHeight="1">
      <c r="A11" s="347"/>
      <c r="B11" s="205" t="s">
        <v>15</v>
      </c>
      <c r="C11" s="212" t="s">
        <v>16</v>
      </c>
      <c r="D11" s="205" t="s">
        <v>5</v>
      </c>
      <c r="E11" s="216">
        <v>7130800033</v>
      </c>
      <c r="F11" s="213">
        <v>2812.38</v>
      </c>
      <c r="G11" s="214">
        <v>4402.6499999999996</v>
      </c>
      <c r="H11" s="214"/>
      <c r="I11" s="214">
        <v>4402.6499999999996</v>
      </c>
      <c r="J11" s="215"/>
    </row>
    <row r="12" spans="1:10" s="6" customFormat="1" ht="18" customHeight="1">
      <c r="A12" s="347"/>
      <c r="B12" s="205" t="s">
        <v>88</v>
      </c>
      <c r="C12" s="212" t="s">
        <v>138</v>
      </c>
      <c r="D12" s="205" t="s">
        <v>5</v>
      </c>
      <c r="E12" s="216">
        <v>7130800672</v>
      </c>
      <c r="F12" s="217" t="s">
        <v>727</v>
      </c>
      <c r="G12" s="217" t="s">
        <v>727</v>
      </c>
      <c r="H12" s="217" t="s">
        <v>727</v>
      </c>
      <c r="I12" s="217" t="s">
        <v>727</v>
      </c>
      <c r="J12" s="217" t="s">
        <v>727</v>
      </c>
    </row>
    <row r="13" spans="1:10" s="6" customFormat="1" ht="18" customHeight="1">
      <c r="A13" s="348"/>
      <c r="B13" s="205" t="s">
        <v>108</v>
      </c>
      <c r="C13" s="218" t="s">
        <v>139</v>
      </c>
      <c r="D13" s="219" t="s">
        <v>5</v>
      </c>
      <c r="E13" s="220">
        <v>7130800002</v>
      </c>
      <c r="F13" s="221">
        <v>4241.8999999999996</v>
      </c>
      <c r="G13" s="222">
        <v>7605.2</v>
      </c>
      <c r="H13" s="222"/>
      <c r="I13" s="222">
        <v>7605.2</v>
      </c>
      <c r="J13" s="223"/>
    </row>
    <row r="14" spans="1:10" s="6" customFormat="1" ht="21.75" customHeight="1">
      <c r="A14" s="346">
        <v>14</v>
      </c>
      <c r="B14" s="201"/>
      <c r="C14" s="224" t="s">
        <v>151</v>
      </c>
      <c r="D14" s="225"/>
      <c r="E14" s="225"/>
      <c r="F14" s="226"/>
      <c r="G14" s="225"/>
      <c r="H14" s="225"/>
      <c r="I14" s="225"/>
      <c r="J14" s="227"/>
    </row>
    <row r="15" spans="1:10" s="6" customFormat="1" ht="18" customHeight="1">
      <c r="A15" s="347"/>
      <c r="B15" s="205" t="s">
        <v>8</v>
      </c>
      <c r="C15" s="206" t="s">
        <v>152</v>
      </c>
      <c r="D15" s="207" t="s">
        <v>3</v>
      </c>
      <c r="E15" s="207">
        <v>7130200201</v>
      </c>
      <c r="F15" s="209">
        <v>3781.9</v>
      </c>
      <c r="G15" s="210">
        <v>4326.5200000000004</v>
      </c>
      <c r="H15" s="210">
        <f>G15*J15</f>
        <v>778.7736000000001</v>
      </c>
      <c r="I15" s="209">
        <f t="shared" ref="I15:I21" si="0">G15+H15</f>
        <v>5105.2936000000009</v>
      </c>
      <c r="J15" s="228">
        <v>0.18</v>
      </c>
    </row>
    <row r="16" spans="1:10" s="6" customFormat="1" ht="18" customHeight="1">
      <c r="A16" s="348"/>
      <c r="B16" s="205" t="s">
        <v>11</v>
      </c>
      <c r="C16" s="212" t="s">
        <v>153</v>
      </c>
      <c r="D16" s="205" t="s">
        <v>3</v>
      </c>
      <c r="E16" s="205">
        <v>7130200202</v>
      </c>
      <c r="F16" s="213">
        <v>2963.81</v>
      </c>
      <c r="G16" s="214">
        <v>3462.14</v>
      </c>
      <c r="H16" s="210">
        <f>G16*J16</f>
        <v>623.18520000000001</v>
      </c>
      <c r="I16" s="229">
        <f t="shared" si="0"/>
        <v>4085.3251999999998</v>
      </c>
      <c r="J16" s="228">
        <v>0.18</v>
      </c>
    </row>
    <row r="17" spans="1:13" s="6" customFormat="1" ht="18.75" customHeight="1">
      <c r="A17" s="205">
        <v>30</v>
      </c>
      <c r="B17" s="205"/>
      <c r="C17" s="230" t="s">
        <v>237</v>
      </c>
      <c r="D17" s="205" t="s">
        <v>48</v>
      </c>
      <c r="E17" s="231">
        <v>7130622922</v>
      </c>
      <c r="F17" s="229">
        <v>122.18</v>
      </c>
      <c r="G17" s="229">
        <f>F17*1.034</f>
        <v>126.33412000000001</v>
      </c>
      <c r="H17" s="229">
        <f>G17*18%</f>
        <v>22.740141600000001</v>
      </c>
      <c r="I17" s="229">
        <f t="shared" si="0"/>
        <v>149.0742616</v>
      </c>
      <c r="J17" s="228">
        <v>0.18</v>
      </c>
    </row>
    <row r="18" spans="1:13" s="6" customFormat="1" ht="26.25" customHeight="1">
      <c r="A18" s="207">
        <v>31</v>
      </c>
      <c r="B18" s="231"/>
      <c r="C18" s="230" t="s">
        <v>238</v>
      </c>
      <c r="D18" s="205" t="s">
        <v>239</v>
      </c>
      <c r="E18" s="231">
        <v>7130641396</v>
      </c>
      <c r="F18" s="213">
        <v>176.39</v>
      </c>
      <c r="G18" s="229">
        <f>F18*1.034</f>
        <v>182.38726</v>
      </c>
      <c r="H18" s="229">
        <f t="shared" ref="H18:H28" si="1">G18*18%</f>
        <v>32.829706799999997</v>
      </c>
      <c r="I18" s="229">
        <f t="shared" si="0"/>
        <v>215.21696679999999</v>
      </c>
      <c r="J18" s="228">
        <v>0.18</v>
      </c>
    </row>
    <row r="19" spans="1:13" s="6" customFormat="1" ht="19.5" customHeight="1">
      <c r="A19" s="207">
        <v>32</v>
      </c>
      <c r="B19" s="231"/>
      <c r="C19" s="230" t="s">
        <v>59</v>
      </c>
      <c r="D19" s="231" t="s">
        <v>48</v>
      </c>
      <c r="E19" s="231">
        <v>7130870040</v>
      </c>
      <c r="F19" s="213">
        <v>70.42</v>
      </c>
      <c r="G19" s="229">
        <f>F19*1.034</f>
        <v>72.814280000000011</v>
      </c>
      <c r="H19" s="229">
        <f t="shared" si="1"/>
        <v>13.106570400000001</v>
      </c>
      <c r="I19" s="229">
        <f t="shared" si="0"/>
        <v>85.920850400000006</v>
      </c>
      <c r="J19" s="228">
        <v>0.18</v>
      </c>
      <c r="K19" s="62" t="s">
        <v>709</v>
      </c>
      <c r="L19" s="49"/>
      <c r="M19" s="49"/>
    </row>
    <row r="20" spans="1:13" s="6" customFormat="1" ht="19.5" customHeight="1">
      <c r="A20" s="205">
        <v>33</v>
      </c>
      <c r="B20" s="205"/>
      <c r="C20" s="212" t="s">
        <v>240</v>
      </c>
      <c r="D20" s="205" t="s">
        <v>5</v>
      </c>
      <c r="E20" s="216">
        <v>7130880041</v>
      </c>
      <c r="F20" s="213">
        <v>68.7</v>
      </c>
      <c r="G20" s="229">
        <f>F20*1.107</f>
        <v>76.050899999999999</v>
      </c>
      <c r="H20" s="229">
        <f t="shared" si="1"/>
        <v>13.689162</v>
      </c>
      <c r="I20" s="229">
        <f t="shared" si="0"/>
        <v>89.740061999999995</v>
      </c>
      <c r="J20" s="228">
        <v>0.18</v>
      </c>
    </row>
    <row r="21" spans="1:13" s="6" customFormat="1" ht="30" customHeight="1">
      <c r="A21" s="205">
        <v>34</v>
      </c>
      <c r="B21" s="205"/>
      <c r="C21" s="218" t="s">
        <v>241</v>
      </c>
      <c r="D21" s="219" t="s">
        <v>5</v>
      </c>
      <c r="E21" s="219">
        <v>7130870088</v>
      </c>
      <c r="F21" s="221">
        <v>1789.38</v>
      </c>
      <c r="G21" s="232">
        <f>F21*1.034</f>
        <v>1850.2189200000003</v>
      </c>
      <c r="H21" s="232">
        <f t="shared" si="1"/>
        <v>333.03940560000001</v>
      </c>
      <c r="I21" s="232">
        <f t="shared" si="0"/>
        <v>2183.2583256000003</v>
      </c>
      <c r="J21" s="233">
        <v>0.18</v>
      </c>
    </row>
    <row r="22" spans="1:13" s="6" customFormat="1" ht="16.5" customHeight="1">
      <c r="A22" s="346">
        <v>35</v>
      </c>
      <c r="B22" s="201"/>
      <c r="C22" s="224" t="s">
        <v>242</v>
      </c>
      <c r="D22" s="225"/>
      <c r="E22" s="225"/>
      <c r="F22" s="225"/>
      <c r="G22" s="234"/>
      <c r="H22" s="234"/>
      <c r="I22" s="234"/>
      <c r="J22" s="204"/>
    </row>
    <row r="23" spans="1:13" s="6" customFormat="1" ht="18.75" customHeight="1">
      <c r="A23" s="347"/>
      <c r="B23" s="205" t="s">
        <v>8</v>
      </c>
      <c r="C23" s="206" t="s">
        <v>243</v>
      </c>
      <c r="D23" s="207" t="s">
        <v>5</v>
      </c>
      <c r="E23" s="208">
        <v>7131920253</v>
      </c>
      <c r="F23" s="209">
        <v>648.12</v>
      </c>
      <c r="G23" s="235">
        <f t="shared" ref="G23:G28" si="2">F23*0.988</f>
        <v>640.34256000000005</v>
      </c>
      <c r="H23" s="235">
        <f t="shared" si="1"/>
        <v>115.2616608</v>
      </c>
      <c r="I23" s="235">
        <f t="shared" ref="I23:I28" si="3">G23+H23</f>
        <v>755.60422080000001</v>
      </c>
      <c r="J23" s="236">
        <v>0.18</v>
      </c>
      <c r="K23" s="9"/>
    </row>
    <row r="24" spans="1:13" s="6" customFormat="1" ht="18.75" customHeight="1">
      <c r="A24" s="347"/>
      <c r="B24" s="205" t="s">
        <v>11</v>
      </c>
      <c r="C24" s="212" t="s">
        <v>244</v>
      </c>
      <c r="D24" s="205" t="s">
        <v>5</v>
      </c>
      <c r="E24" s="216">
        <v>7131920254</v>
      </c>
      <c r="F24" s="213">
        <v>1556.27</v>
      </c>
      <c r="G24" s="229">
        <f t="shared" si="2"/>
        <v>1537.59476</v>
      </c>
      <c r="H24" s="229">
        <f t="shared" si="1"/>
        <v>276.76705679999998</v>
      </c>
      <c r="I24" s="229">
        <f t="shared" si="3"/>
        <v>1814.3618167999998</v>
      </c>
      <c r="J24" s="228">
        <v>0.18</v>
      </c>
    </row>
    <row r="25" spans="1:13" s="6" customFormat="1" ht="18.75" customHeight="1">
      <c r="A25" s="347"/>
      <c r="B25" s="205" t="s">
        <v>32</v>
      </c>
      <c r="C25" s="212" t="s">
        <v>38</v>
      </c>
      <c r="D25" s="205" t="s">
        <v>5</v>
      </c>
      <c r="E25" s="216">
        <v>7131920256</v>
      </c>
      <c r="F25" s="213">
        <v>3010.32</v>
      </c>
      <c r="G25" s="229">
        <f t="shared" si="2"/>
        <v>2974.19616</v>
      </c>
      <c r="H25" s="229">
        <f t="shared" si="1"/>
        <v>535.35530879999999</v>
      </c>
      <c r="I25" s="229">
        <f t="shared" si="3"/>
        <v>3509.5514687999998</v>
      </c>
      <c r="J25" s="228">
        <v>0.18</v>
      </c>
    </row>
    <row r="26" spans="1:13" s="6" customFormat="1" ht="18.75" customHeight="1">
      <c r="A26" s="347"/>
      <c r="B26" s="205" t="s">
        <v>15</v>
      </c>
      <c r="C26" s="212" t="s">
        <v>245</v>
      </c>
      <c r="D26" s="205" t="s">
        <v>5</v>
      </c>
      <c r="E26" s="216">
        <v>7131920258</v>
      </c>
      <c r="F26" s="213">
        <v>4226.16</v>
      </c>
      <c r="G26" s="229">
        <f t="shared" si="2"/>
        <v>4175.4460799999997</v>
      </c>
      <c r="H26" s="229">
        <f t="shared" si="1"/>
        <v>751.58029439999996</v>
      </c>
      <c r="I26" s="229">
        <f t="shared" si="3"/>
        <v>4927.0263743999994</v>
      </c>
      <c r="J26" s="228">
        <v>0.18</v>
      </c>
    </row>
    <row r="27" spans="1:13" s="6" customFormat="1" ht="18.75" customHeight="1">
      <c r="A27" s="347"/>
      <c r="B27" s="205" t="s">
        <v>88</v>
      </c>
      <c r="C27" s="212" t="s">
        <v>246</v>
      </c>
      <c r="D27" s="205" t="s">
        <v>5</v>
      </c>
      <c r="E27" s="216">
        <v>7131920259</v>
      </c>
      <c r="F27" s="213">
        <v>5733.8</v>
      </c>
      <c r="G27" s="229">
        <f t="shared" si="2"/>
        <v>5664.9944000000005</v>
      </c>
      <c r="H27" s="229">
        <f t="shared" si="1"/>
        <v>1019.6989920000001</v>
      </c>
      <c r="I27" s="229">
        <f t="shared" si="3"/>
        <v>6684.693392000001</v>
      </c>
      <c r="J27" s="228">
        <v>0.18</v>
      </c>
    </row>
    <row r="28" spans="1:13" s="6" customFormat="1" ht="18.75" customHeight="1">
      <c r="A28" s="348"/>
      <c r="B28" s="205" t="s">
        <v>108</v>
      </c>
      <c r="C28" s="218" t="s">
        <v>247</v>
      </c>
      <c r="D28" s="219" t="s">
        <v>5</v>
      </c>
      <c r="E28" s="220">
        <v>7131920260</v>
      </c>
      <c r="F28" s="221">
        <v>8660.74</v>
      </c>
      <c r="G28" s="232">
        <f t="shared" si="2"/>
        <v>8556.8111200000003</v>
      </c>
      <c r="H28" s="232">
        <f t="shared" si="1"/>
        <v>1540.2260016</v>
      </c>
      <c r="I28" s="232">
        <f t="shared" si="3"/>
        <v>10097.0371216</v>
      </c>
      <c r="J28" s="233">
        <v>0.18</v>
      </c>
    </row>
    <row r="29" spans="1:13" s="6" customFormat="1" ht="20.25" customHeight="1">
      <c r="A29" s="346">
        <v>36</v>
      </c>
      <c r="B29" s="237"/>
      <c r="C29" s="238" t="s">
        <v>248</v>
      </c>
      <c r="D29" s="239"/>
      <c r="E29" s="240"/>
      <c r="F29" s="241"/>
      <c r="G29" s="234"/>
      <c r="H29" s="234"/>
      <c r="I29" s="234"/>
      <c r="J29" s="204"/>
    </row>
    <row r="30" spans="1:13" s="6" customFormat="1" ht="18" customHeight="1">
      <c r="A30" s="347"/>
      <c r="B30" s="205" t="s">
        <v>8</v>
      </c>
      <c r="C30" s="212" t="s">
        <v>249</v>
      </c>
      <c r="D30" s="205" t="s">
        <v>5</v>
      </c>
      <c r="E30" s="205">
        <v>7131910655</v>
      </c>
      <c r="F30" s="213">
        <v>25.16</v>
      </c>
      <c r="G30" s="229">
        <f>F30*0.8548</f>
        <v>21.506768000000001</v>
      </c>
      <c r="H30" s="229">
        <f>G30*18%</f>
        <v>3.8712182400000001</v>
      </c>
      <c r="I30" s="229">
        <f>G30+H30</f>
        <v>25.377986240000002</v>
      </c>
      <c r="J30" s="228">
        <v>0.18</v>
      </c>
    </row>
    <row r="31" spans="1:13" s="6" customFormat="1" ht="18" customHeight="1">
      <c r="A31" s="347"/>
      <c r="B31" s="205" t="s">
        <v>11</v>
      </c>
      <c r="C31" s="212" t="s">
        <v>250</v>
      </c>
      <c r="D31" s="205" t="s">
        <v>5</v>
      </c>
      <c r="E31" s="216">
        <v>7131910653</v>
      </c>
      <c r="F31" s="213">
        <v>44.03</v>
      </c>
      <c r="G31" s="229">
        <f>F31*0.8548</f>
        <v>37.636844000000004</v>
      </c>
      <c r="H31" s="229">
        <f>G31*18%</f>
        <v>6.77463192</v>
      </c>
      <c r="I31" s="229">
        <f>G31+H31</f>
        <v>44.411475920000001</v>
      </c>
      <c r="J31" s="228">
        <v>0.18</v>
      </c>
    </row>
    <row r="32" spans="1:13" s="6" customFormat="1" ht="18" customHeight="1">
      <c r="A32" s="348"/>
      <c r="B32" s="205" t="s">
        <v>32</v>
      </c>
      <c r="C32" s="212" t="s">
        <v>251</v>
      </c>
      <c r="D32" s="205" t="s">
        <v>5</v>
      </c>
      <c r="E32" s="216">
        <v>7131910654</v>
      </c>
      <c r="F32" s="213">
        <v>87.01</v>
      </c>
      <c r="G32" s="229">
        <f>F32*0.8548</f>
        <v>74.376148000000001</v>
      </c>
      <c r="H32" s="229">
        <f>G32*18%</f>
        <v>13.387706639999999</v>
      </c>
      <c r="I32" s="229">
        <f>G32+H32</f>
        <v>87.763854640000005</v>
      </c>
      <c r="J32" s="228">
        <v>0.18</v>
      </c>
      <c r="K32" s="7"/>
    </row>
    <row r="33" spans="1:15" s="6" customFormat="1" ht="18.75" customHeight="1">
      <c r="A33" s="205">
        <v>37</v>
      </c>
      <c r="B33" s="205"/>
      <c r="C33" s="212" t="s">
        <v>252</v>
      </c>
      <c r="D33" s="205" t="s">
        <v>253</v>
      </c>
      <c r="E33" s="216">
        <v>7130211158</v>
      </c>
      <c r="F33" s="213">
        <v>127.31</v>
      </c>
      <c r="G33" s="229">
        <f>F33*0.977</f>
        <v>124.38187000000001</v>
      </c>
      <c r="H33" s="229">
        <f>G33*18%</f>
        <v>22.388736600000001</v>
      </c>
      <c r="I33" s="229">
        <f>G33+H33</f>
        <v>146.77060660000001</v>
      </c>
      <c r="J33" s="228">
        <v>0.18</v>
      </c>
      <c r="K33" s="7"/>
    </row>
    <row r="34" spans="1:15" s="6" customFormat="1" ht="18.75" customHeight="1">
      <c r="A34" s="205">
        <v>38</v>
      </c>
      <c r="B34" s="205"/>
      <c r="C34" s="212" t="s">
        <v>254</v>
      </c>
      <c r="D34" s="205" t="s">
        <v>253</v>
      </c>
      <c r="E34" s="216">
        <v>7130210809</v>
      </c>
      <c r="F34" s="213">
        <v>284.45999999999998</v>
      </c>
      <c r="G34" s="229">
        <f>F34*0.977</f>
        <v>277.91741999999999</v>
      </c>
      <c r="H34" s="229">
        <f>G34*18%</f>
        <v>50.025135599999999</v>
      </c>
      <c r="I34" s="229">
        <f>G34+H34</f>
        <v>327.94255559999999</v>
      </c>
      <c r="J34" s="228">
        <v>0.18</v>
      </c>
      <c r="K34" s="7"/>
    </row>
    <row r="35" spans="1:15" s="6" customFormat="1" ht="18" customHeight="1">
      <c r="A35" s="346">
        <v>52</v>
      </c>
      <c r="B35" s="201"/>
      <c r="C35" s="224" t="s">
        <v>389</v>
      </c>
      <c r="D35" s="225"/>
      <c r="E35" s="225"/>
      <c r="F35" s="225"/>
      <c r="G35" s="234"/>
      <c r="H35" s="234"/>
      <c r="I35" s="234"/>
      <c r="J35" s="204"/>
      <c r="L35" s="51"/>
      <c r="M35" s="51"/>
      <c r="N35" s="51"/>
      <c r="O35" s="51"/>
    </row>
    <row r="36" spans="1:15" s="6" customFormat="1" ht="15.75" customHeight="1">
      <c r="A36" s="347"/>
      <c r="B36" s="205" t="s">
        <v>8</v>
      </c>
      <c r="C36" s="206" t="s">
        <v>390</v>
      </c>
      <c r="D36" s="207" t="s">
        <v>5</v>
      </c>
      <c r="E36" s="207">
        <v>7131210852</v>
      </c>
      <c r="F36" s="235">
        <v>93.83</v>
      </c>
      <c r="G36" s="242" t="s">
        <v>707</v>
      </c>
      <c r="H36" s="243"/>
      <c r="I36" s="242" t="s">
        <v>707</v>
      </c>
      <c r="J36" s="236">
        <v>0.18</v>
      </c>
    </row>
    <row r="37" spans="1:15" s="6" customFormat="1" ht="15.75" customHeight="1">
      <c r="A37" s="347"/>
      <c r="B37" s="205" t="s">
        <v>11</v>
      </c>
      <c r="C37" s="212" t="s">
        <v>391</v>
      </c>
      <c r="D37" s="205" t="s">
        <v>5</v>
      </c>
      <c r="E37" s="205">
        <v>7131280882</v>
      </c>
      <c r="F37" s="229">
        <v>93.83</v>
      </c>
      <c r="G37" s="242" t="s">
        <v>707</v>
      </c>
      <c r="H37" s="243"/>
      <c r="I37" s="242" t="s">
        <v>707</v>
      </c>
      <c r="J37" s="228">
        <v>0.18</v>
      </c>
    </row>
    <row r="38" spans="1:15" s="6" customFormat="1" ht="15.75" customHeight="1">
      <c r="A38" s="347"/>
      <c r="B38" s="205" t="s">
        <v>32</v>
      </c>
      <c r="C38" s="212" t="s">
        <v>392</v>
      </c>
      <c r="D38" s="205" t="s">
        <v>5</v>
      </c>
      <c r="E38" s="205">
        <v>7131280006</v>
      </c>
      <c r="F38" s="229">
        <v>99.64</v>
      </c>
      <c r="G38" s="242" t="s">
        <v>707</v>
      </c>
      <c r="H38" s="229"/>
      <c r="I38" s="242" t="s">
        <v>707</v>
      </c>
      <c r="J38" s="228">
        <v>0.18</v>
      </c>
    </row>
    <row r="39" spans="1:15" s="6" customFormat="1" ht="15.75" customHeight="1">
      <c r="A39" s="347"/>
      <c r="B39" s="205" t="s">
        <v>15</v>
      </c>
      <c r="C39" s="212" t="s">
        <v>393</v>
      </c>
      <c r="D39" s="205" t="s">
        <v>5</v>
      </c>
      <c r="E39" s="205">
        <v>7131280007</v>
      </c>
      <c r="F39" s="229">
        <v>130.59</v>
      </c>
      <c r="G39" s="242" t="s">
        <v>707</v>
      </c>
      <c r="H39" s="229"/>
      <c r="I39" s="242" t="s">
        <v>707</v>
      </c>
      <c r="J39" s="228">
        <v>0.18</v>
      </c>
    </row>
    <row r="40" spans="1:15" s="6" customFormat="1" ht="15.75" customHeight="1">
      <c r="A40" s="347"/>
      <c r="B40" s="205" t="s">
        <v>88</v>
      </c>
      <c r="C40" s="212" t="s">
        <v>394</v>
      </c>
      <c r="D40" s="205" t="s">
        <v>5</v>
      </c>
      <c r="E40" s="205">
        <v>7131280008</v>
      </c>
      <c r="F40" s="229">
        <v>167.35</v>
      </c>
      <c r="G40" s="242" t="s">
        <v>707</v>
      </c>
      <c r="H40" s="229"/>
      <c r="I40" s="242" t="s">
        <v>707</v>
      </c>
      <c r="J40" s="228">
        <v>0.18</v>
      </c>
    </row>
    <row r="41" spans="1:15" s="6" customFormat="1" ht="15.75" customHeight="1">
      <c r="A41" s="347"/>
      <c r="B41" s="205" t="s">
        <v>108</v>
      </c>
      <c r="C41" s="212" t="s">
        <v>395</v>
      </c>
      <c r="D41" s="205" t="s">
        <v>5</v>
      </c>
      <c r="E41" s="205">
        <v>7131280009</v>
      </c>
      <c r="F41" s="229">
        <v>154.78</v>
      </c>
      <c r="G41" s="242" t="s">
        <v>707</v>
      </c>
      <c r="H41" s="229"/>
      <c r="I41" s="242" t="s">
        <v>707</v>
      </c>
      <c r="J41" s="228">
        <v>0.18</v>
      </c>
    </row>
    <row r="42" spans="1:15" s="6" customFormat="1" ht="15.75" customHeight="1">
      <c r="A42" s="347"/>
      <c r="B42" s="205" t="s">
        <v>56</v>
      </c>
      <c r="C42" s="212" t="s">
        <v>396</v>
      </c>
      <c r="D42" s="205" t="s">
        <v>5</v>
      </c>
      <c r="E42" s="205">
        <v>7131230116</v>
      </c>
      <c r="F42" s="229">
        <v>356.95</v>
      </c>
      <c r="G42" s="242" t="s">
        <v>707</v>
      </c>
      <c r="H42" s="229"/>
      <c r="I42" s="242" t="s">
        <v>707</v>
      </c>
      <c r="J42" s="228">
        <v>0.18</v>
      </c>
    </row>
    <row r="43" spans="1:15" s="6" customFormat="1" ht="15.75" customHeight="1">
      <c r="A43" s="347"/>
      <c r="B43" s="205" t="s">
        <v>180</v>
      </c>
      <c r="C43" s="212" t="s">
        <v>397</v>
      </c>
      <c r="D43" s="205" t="s">
        <v>5</v>
      </c>
      <c r="E43" s="205">
        <v>7131210881</v>
      </c>
      <c r="F43" s="229">
        <v>1214.99</v>
      </c>
      <c r="G43" s="242" t="s">
        <v>707</v>
      </c>
      <c r="H43" s="229"/>
      <c r="I43" s="242" t="s">
        <v>707</v>
      </c>
      <c r="J43" s="228">
        <v>0.18</v>
      </c>
    </row>
    <row r="44" spans="1:15" s="6" customFormat="1" ht="15.75" customHeight="1">
      <c r="A44" s="348"/>
      <c r="B44" s="205" t="s">
        <v>218</v>
      </c>
      <c r="C44" s="212" t="s">
        <v>398</v>
      </c>
      <c r="D44" s="205" t="s">
        <v>5</v>
      </c>
      <c r="E44" s="205">
        <v>7131230003</v>
      </c>
      <c r="F44" s="229">
        <v>452.72</v>
      </c>
      <c r="G44" s="242" t="s">
        <v>707</v>
      </c>
      <c r="H44" s="229"/>
      <c r="I44" s="242" t="s">
        <v>707</v>
      </c>
      <c r="J44" s="228">
        <v>0.18</v>
      </c>
    </row>
    <row r="45" spans="1:15" s="6" customFormat="1" ht="15" customHeight="1">
      <c r="A45" s="205">
        <v>53</v>
      </c>
      <c r="B45" s="205"/>
      <c r="C45" s="212" t="s">
        <v>399</v>
      </c>
      <c r="D45" s="205" t="s">
        <v>5</v>
      </c>
      <c r="E45" s="205">
        <v>7131280010</v>
      </c>
      <c r="F45" s="229">
        <v>95.77</v>
      </c>
      <c r="G45" s="242" t="s">
        <v>707</v>
      </c>
      <c r="H45" s="229"/>
      <c r="I45" s="242" t="s">
        <v>707</v>
      </c>
      <c r="J45" s="228">
        <v>0.18</v>
      </c>
    </row>
    <row r="46" spans="1:15" s="6" customFormat="1" ht="15.75" customHeight="1">
      <c r="A46" s="207">
        <v>54</v>
      </c>
      <c r="B46" s="207"/>
      <c r="C46" s="206" t="s">
        <v>400</v>
      </c>
      <c r="D46" s="207" t="s">
        <v>5</v>
      </c>
      <c r="E46" s="216">
        <v>7131220182</v>
      </c>
      <c r="F46" s="229">
        <v>50.3</v>
      </c>
      <c r="G46" s="242" t="s">
        <v>707</v>
      </c>
      <c r="H46" s="229"/>
      <c r="I46" s="242" t="s">
        <v>707</v>
      </c>
      <c r="J46" s="228">
        <v>0.18</v>
      </c>
    </row>
    <row r="47" spans="1:15" s="6" customFormat="1" ht="27.75" customHeight="1">
      <c r="A47" s="346">
        <v>55</v>
      </c>
      <c r="B47" s="205" t="s">
        <v>125</v>
      </c>
      <c r="C47" s="212" t="s">
        <v>401</v>
      </c>
      <c r="D47" s="205" t="s">
        <v>5</v>
      </c>
      <c r="E47" s="205">
        <v>7131280011</v>
      </c>
      <c r="F47" s="229">
        <v>6268.42</v>
      </c>
      <c r="G47" s="242" t="s">
        <v>707</v>
      </c>
      <c r="H47" s="229"/>
      <c r="I47" s="242" t="s">
        <v>707</v>
      </c>
      <c r="J47" s="228">
        <v>0.18</v>
      </c>
    </row>
    <row r="48" spans="1:15" s="6" customFormat="1" ht="15" customHeight="1">
      <c r="A48" s="347"/>
      <c r="B48" s="205" t="s">
        <v>128</v>
      </c>
      <c r="C48" s="212" t="s">
        <v>402</v>
      </c>
      <c r="D48" s="205" t="s">
        <v>5</v>
      </c>
      <c r="E48" s="205">
        <v>7131280012</v>
      </c>
      <c r="F48" s="229">
        <v>626.84</v>
      </c>
      <c r="G48" s="242" t="s">
        <v>707</v>
      </c>
      <c r="H48" s="229"/>
      <c r="I48" s="242" t="s">
        <v>707</v>
      </c>
      <c r="J48" s="228">
        <v>0.18</v>
      </c>
    </row>
    <row r="49" spans="1:13" s="6" customFormat="1" ht="15" customHeight="1">
      <c r="A49" s="347"/>
      <c r="B49" s="205" t="s">
        <v>149</v>
      </c>
      <c r="C49" s="212" t="s">
        <v>403</v>
      </c>
      <c r="D49" s="205" t="s">
        <v>5</v>
      </c>
      <c r="E49" s="205">
        <v>7131280013</v>
      </c>
      <c r="F49" s="229">
        <v>2620.5500000000002</v>
      </c>
      <c r="G49" s="242" t="s">
        <v>707</v>
      </c>
      <c r="H49" s="229"/>
      <c r="I49" s="242" t="s">
        <v>707</v>
      </c>
      <c r="J49" s="228">
        <v>0.18</v>
      </c>
    </row>
    <row r="50" spans="1:13" s="6" customFormat="1" ht="15" customHeight="1">
      <c r="A50" s="347"/>
      <c r="B50" s="205" t="s">
        <v>307</v>
      </c>
      <c r="C50" s="212" t="s">
        <v>404</v>
      </c>
      <c r="D50" s="205" t="s">
        <v>5</v>
      </c>
      <c r="E50" s="205">
        <v>7131280014</v>
      </c>
      <c r="F50" s="229">
        <v>313.42</v>
      </c>
      <c r="G50" s="242" t="s">
        <v>707</v>
      </c>
      <c r="H50" s="229"/>
      <c r="I50" s="242" t="s">
        <v>707</v>
      </c>
      <c r="J50" s="228">
        <v>0.18</v>
      </c>
    </row>
    <row r="51" spans="1:13" s="6" customFormat="1" ht="15" customHeight="1">
      <c r="A51" s="347"/>
      <c r="B51" s="205" t="s">
        <v>405</v>
      </c>
      <c r="C51" s="212" t="s">
        <v>406</v>
      </c>
      <c r="D51" s="205" t="s">
        <v>5</v>
      </c>
      <c r="E51" s="244"/>
      <c r="F51" s="229">
        <v>835.79</v>
      </c>
      <c r="G51" s="242" t="s">
        <v>707</v>
      </c>
      <c r="H51" s="229"/>
      <c r="I51" s="242" t="s">
        <v>707</v>
      </c>
      <c r="J51" s="228">
        <v>0.18</v>
      </c>
    </row>
    <row r="52" spans="1:13" s="6" customFormat="1" ht="15" customHeight="1">
      <c r="A52" s="347"/>
      <c r="B52" s="205" t="s">
        <v>407</v>
      </c>
      <c r="C52" s="212" t="s">
        <v>408</v>
      </c>
      <c r="D52" s="205" t="s">
        <v>5</v>
      </c>
      <c r="E52" s="205">
        <v>7131280015</v>
      </c>
      <c r="F52" s="229">
        <v>1305.92</v>
      </c>
      <c r="G52" s="242" t="s">
        <v>707</v>
      </c>
      <c r="H52" s="229"/>
      <c r="I52" s="242" t="s">
        <v>707</v>
      </c>
      <c r="J52" s="228">
        <v>0.18</v>
      </c>
    </row>
    <row r="53" spans="1:13" s="6" customFormat="1" ht="27.75" customHeight="1">
      <c r="A53" s="347"/>
      <c r="B53" s="205" t="s">
        <v>409</v>
      </c>
      <c r="C53" s="212" t="s">
        <v>410</v>
      </c>
      <c r="D53" s="205" t="s">
        <v>5</v>
      </c>
      <c r="E53" s="205">
        <v>7131280016</v>
      </c>
      <c r="F53" s="229">
        <v>2988.14</v>
      </c>
      <c r="G53" s="242" t="s">
        <v>707</v>
      </c>
      <c r="H53" s="229"/>
      <c r="I53" s="242" t="s">
        <v>707</v>
      </c>
      <c r="J53" s="228">
        <v>0.18</v>
      </c>
    </row>
    <row r="54" spans="1:13" s="6" customFormat="1" ht="28.5" customHeight="1">
      <c r="A54" s="347"/>
      <c r="B54" s="205" t="s">
        <v>411</v>
      </c>
      <c r="C54" s="212" t="s">
        <v>412</v>
      </c>
      <c r="D54" s="205" t="s">
        <v>5</v>
      </c>
      <c r="E54" s="205">
        <v>7131280017</v>
      </c>
      <c r="F54" s="229">
        <v>3734.93</v>
      </c>
      <c r="G54" s="242" t="s">
        <v>707</v>
      </c>
      <c r="H54" s="229"/>
      <c r="I54" s="242" t="s">
        <v>707</v>
      </c>
      <c r="J54" s="228">
        <v>0.18</v>
      </c>
    </row>
    <row r="55" spans="1:13" s="6" customFormat="1" ht="27" customHeight="1">
      <c r="A55" s="348"/>
      <c r="B55" s="205" t="s">
        <v>8</v>
      </c>
      <c r="C55" s="218" t="s">
        <v>413</v>
      </c>
      <c r="D55" s="219" t="s">
        <v>5</v>
      </c>
      <c r="E55" s="245" t="s">
        <v>414</v>
      </c>
      <c r="F55" s="232">
        <v>1896</v>
      </c>
      <c r="G55" s="242" t="s">
        <v>707</v>
      </c>
      <c r="H55" s="232"/>
      <c r="I55" s="242" t="s">
        <v>707</v>
      </c>
      <c r="J55" s="233">
        <v>0.18</v>
      </c>
    </row>
    <row r="56" spans="1:13" s="6" customFormat="1" ht="18" customHeight="1">
      <c r="A56" s="346">
        <v>56</v>
      </c>
      <c r="B56" s="246" t="s">
        <v>27</v>
      </c>
      <c r="C56" s="224" t="s">
        <v>415</v>
      </c>
      <c r="D56" s="247"/>
      <c r="E56" s="248"/>
      <c r="F56" s="249"/>
      <c r="G56" s="234"/>
      <c r="H56" s="234"/>
      <c r="I56" s="234"/>
      <c r="J56" s="227"/>
    </row>
    <row r="57" spans="1:13" s="6" customFormat="1" ht="18.75" customHeight="1">
      <c r="A57" s="347"/>
      <c r="B57" s="205" t="s">
        <v>8</v>
      </c>
      <c r="C57" s="250" t="s">
        <v>416</v>
      </c>
      <c r="D57" s="207" t="s">
        <v>5</v>
      </c>
      <c r="E57" s="251">
        <v>7131210010</v>
      </c>
      <c r="F57" s="252">
        <v>209.52</v>
      </c>
      <c r="G57" s="253" t="s">
        <v>707</v>
      </c>
      <c r="H57" s="235"/>
      <c r="I57" s="253" t="s">
        <v>707</v>
      </c>
      <c r="J57" s="211"/>
      <c r="K57" s="50" t="s">
        <v>709</v>
      </c>
      <c r="L57" s="49"/>
      <c r="M57" s="49"/>
    </row>
    <row r="58" spans="1:13" s="6" customFormat="1" ht="15">
      <c r="A58" s="347"/>
      <c r="B58" s="205" t="s">
        <v>11</v>
      </c>
      <c r="C58" s="254" t="s">
        <v>751</v>
      </c>
      <c r="D58" s="205" t="s">
        <v>5</v>
      </c>
      <c r="E58" s="255">
        <v>7131210011</v>
      </c>
      <c r="F58" s="256">
        <v>61.9</v>
      </c>
      <c r="G58" s="229">
        <v>62.5</v>
      </c>
      <c r="H58" s="229">
        <f>G58*12%</f>
        <v>7.5</v>
      </c>
      <c r="I58" s="229">
        <f>G58+H58</f>
        <v>70</v>
      </c>
      <c r="J58" s="228">
        <v>0.12</v>
      </c>
      <c r="K58" s="50" t="s">
        <v>709</v>
      </c>
      <c r="L58" s="49"/>
      <c r="M58" s="49"/>
    </row>
    <row r="59" spans="1:13" s="6" customFormat="1" ht="15.75" customHeight="1">
      <c r="A59" s="347"/>
      <c r="B59" s="205" t="s">
        <v>32</v>
      </c>
      <c r="C59" s="254" t="s">
        <v>417</v>
      </c>
      <c r="D59" s="205" t="s">
        <v>5</v>
      </c>
      <c r="E59" s="255">
        <v>7131210018</v>
      </c>
      <c r="F59" s="256">
        <v>285.70999999999998</v>
      </c>
      <c r="G59" s="242" t="s">
        <v>707</v>
      </c>
      <c r="H59" s="229"/>
      <c r="I59" s="242" t="s">
        <v>707</v>
      </c>
      <c r="J59" s="257"/>
      <c r="K59" s="50" t="s">
        <v>709</v>
      </c>
      <c r="L59" s="49"/>
      <c r="M59" s="49"/>
    </row>
    <row r="60" spans="1:13" s="6" customFormat="1" ht="15.75" customHeight="1">
      <c r="A60" s="347"/>
      <c r="B60" s="205" t="s">
        <v>15</v>
      </c>
      <c r="C60" s="258" t="s">
        <v>418</v>
      </c>
      <c r="D60" s="219" t="s">
        <v>5</v>
      </c>
      <c r="E60" s="255">
        <v>7131210019</v>
      </c>
      <c r="F60" s="259">
        <v>333.33</v>
      </c>
      <c r="G60" s="242" t="s">
        <v>707</v>
      </c>
      <c r="H60" s="229"/>
      <c r="I60" s="242" t="s">
        <v>707</v>
      </c>
      <c r="J60" s="257"/>
      <c r="K60" s="50" t="s">
        <v>709</v>
      </c>
      <c r="L60" s="49"/>
      <c r="M60" s="49"/>
    </row>
    <row r="61" spans="1:13" s="6" customFormat="1" ht="15.75" customHeight="1">
      <c r="A61" s="347"/>
      <c r="B61" s="205" t="s">
        <v>88</v>
      </c>
      <c r="C61" s="212" t="s">
        <v>419</v>
      </c>
      <c r="D61" s="205" t="s">
        <v>5</v>
      </c>
      <c r="E61" s="260">
        <v>7131210020</v>
      </c>
      <c r="F61" s="229">
        <v>342.86</v>
      </c>
      <c r="G61" s="242" t="s">
        <v>707</v>
      </c>
      <c r="H61" s="229"/>
      <c r="I61" s="242" t="s">
        <v>707</v>
      </c>
      <c r="J61" s="257"/>
      <c r="K61" s="50" t="s">
        <v>709</v>
      </c>
      <c r="L61" s="49"/>
      <c r="M61" s="49"/>
    </row>
    <row r="62" spans="1:13" ht="17.25" customHeight="1">
      <c r="A62" s="347"/>
      <c r="B62" s="205" t="s">
        <v>108</v>
      </c>
      <c r="C62" s="212" t="s">
        <v>761</v>
      </c>
      <c r="D62" s="231"/>
      <c r="E62" s="261"/>
      <c r="F62" s="229"/>
      <c r="G62" s="229">
        <v>196.44</v>
      </c>
      <c r="H62" s="229">
        <f>G62*12%</f>
        <v>23.572799999999997</v>
      </c>
      <c r="I62" s="229">
        <f>G62+H62</f>
        <v>220.0128</v>
      </c>
      <c r="J62" s="228">
        <v>0.12</v>
      </c>
    </row>
    <row r="63" spans="1:13" s="6" customFormat="1" ht="30" customHeight="1">
      <c r="A63" s="347"/>
      <c r="B63" s="246" t="s">
        <v>18</v>
      </c>
      <c r="C63" s="224" t="s">
        <v>420</v>
      </c>
      <c r="D63" s="247"/>
      <c r="E63" s="248"/>
      <c r="F63" s="234"/>
      <c r="G63" s="249"/>
      <c r="H63" s="249"/>
      <c r="I63" s="262"/>
      <c r="J63" s="204"/>
    </row>
    <row r="64" spans="1:13" s="6" customFormat="1" ht="28.5" customHeight="1">
      <c r="A64" s="347"/>
      <c r="B64" s="205" t="s">
        <v>8</v>
      </c>
      <c r="C64" s="206" t="s">
        <v>719</v>
      </c>
      <c r="D64" s="207" t="s">
        <v>25</v>
      </c>
      <c r="E64" s="251">
        <v>7131210021</v>
      </c>
      <c r="F64" s="252">
        <v>3666.67</v>
      </c>
      <c r="G64" s="253" t="s">
        <v>707</v>
      </c>
      <c r="H64" s="235"/>
      <c r="I64" s="253" t="s">
        <v>707</v>
      </c>
      <c r="J64" s="263"/>
      <c r="K64" s="50" t="s">
        <v>709</v>
      </c>
      <c r="L64" s="49"/>
      <c r="M64" s="49"/>
    </row>
    <row r="65" spans="1:13" s="6" customFormat="1" ht="28.5" customHeight="1">
      <c r="A65" s="347"/>
      <c r="B65" s="205" t="s">
        <v>11</v>
      </c>
      <c r="C65" s="212" t="s">
        <v>720</v>
      </c>
      <c r="D65" s="205" t="s">
        <v>25</v>
      </c>
      <c r="E65" s="255">
        <v>7131210022</v>
      </c>
      <c r="F65" s="256">
        <v>4047.62</v>
      </c>
      <c r="G65" s="242" t="s">
        <v>707</v>
      </c>
      <c r="H65" s="229"/>
      <c r="I65" s="242" t="s">
        <v>707</v>
      </c>
      <c r="J65" s="264"/>
      <c r="K65" s="50" t="s">
        <v>709</v>
      </c>
      <c r="L65" s="49"/>
      <c r="M65" s="49"/>
    </row>
    <row r="66" spans="1:13" s="6" customFormat="1" ht="27" customHeight="1">
      <c r="A66" s="347"/>
      <c r="B66" s="205" t="s">
        <v>32</v>
      </c>
      <c r="C66" s="212" t="s">
        <v>421</v>
      </c>
      <c r="D66" s="205" t="s">
        <v>25</v>
      </c>
      <c r="E66" s="255">
        <v>7131210023</v>
      </c>
      <c r="F66" s="256">
        <v>2780.95</v>
      </c>
      <c r="G66" s="242" t="s">
        <v>707</v>
      </c>
      <c r="H66" s="229"/>
      <c r="I66" s="242" t="s">
        <v>707</v>
      </c>
      <c r="J66" s="228"/>
    </row>
    <row r="67" spans="1:13" s="6" customFormat="1" ht="27" customHeight="1">
      <c r="A67" s="347"/>
      <c r="B67" s="205" t="s">
        <v>15</v>
      </c>
      <c r="C67" s="212" t="s">
        <v>422</v>
      </c>
      <c r="D67" s="205" t="s">
        <v>25</v>
      </c>
      <c r="E67" s="255">
        <v>7131210024</v>
      </c>
      <c r="F67" s="256">
        <v>3371.43</v>
      </c>
      <c r="G67" s="242" t="s">
        <v>707</v>
      </c>
      <c r="H67" s="229"/>
      <c r="I67" s="242" t="s">
        <v>707</v>
      </c>
      <c r="J67" s="228"/>
    </row>
    <row r="68" spans="1:13" s="6" customFormat="1" ht="27" customHeight="1">
      <c r="A68" s="347"/>
      <c r="B68" s="205" t="s">
        <v>88</v>
      </c>
      <c r="C68" s="218" t="s">
        <v>423</v>
      </c>
      <c r="D68" s="219" t="s">
        <v>25</v>
      </c>
      <c r="E68" s="265">
        <v>7131210025</v>
      </c>
      <c r="F68" s="259">
        <v>3780.95</v>
      </c>
      <c r="G68" s="242" t="s">
        <v>707</v>
      </c>
      <c r="H68" s="232"/>
      <c r="I68" s="242" t="s">
        <v>707</v>
      </c>
      <c r="J68" s="233"/>
    </row>
    <row r="69" spans="1:13" s="6" customFormat="1" ht="18" customHeight="1">
      <c r="A69" s="347"/>
      <c r="B69" s="201" t="s">
        <v>108</v>
      </c>
      <c r="C69" s="212" t="s">
        <v>754</v>
      </c>
      <c r="D69" s="205" t="s">
        <v>57</v>
      </c>
      <c r="E69" s="260"/>
      <c r="F69" s="229"/>
      <c r="G69" s="266">
        <v>2022</v>
      </c>
      <c r="H69" s="229">
        <f>G69*J69</f>
        <v>242.64</v>
      </c>
      <c r="I69" s="229">
        <f>G69+H69</f>
        <v>2264.64</v>
      </c>
      <c r="J69" s="228">
        <v>0.12</v>
      </c>
    </row>
    <row r="70" spans="1:13" s="6" customFormat="1" ht="18" customHeight="1">
      <c r="A70" s="347"/>
      <c r="B70" s="201" t="s">
        <v>56</v>
      </c>
      <c r="C70" s="212" t="s">
        <v>755</v>
      </c>
      <c r="D70" s="205" t="s">
        <v>57</v>
      </c>
      <c r="E70" s="260"/>
      <c r="F70" s="229"/>
      <c r="G70" s="266">
        <v>2612</v>
      </c>
      <c r="H70" s="229">
        <f t="shared" ref="H70:H75" si="4">G70*J70</f>
        <v>313.44</v>
      </c>
      <c r="I70" s="229">
        <f t="shared" ref="I70:I75" si="5">G70+H70</f>
        <v>2925.44</v>
      </c>
      <c r="J70" s="228">
        <v>0.12</v>
      </c>
    </row>
    <row r="71" spans="1:13" s="6" customFormat="1" ht="18" customHeight="1">
      <c r="A71" s="347"/>
      <c r="B71" s="201" t="s">
        <v>180</v>
      </c>
      <c r="C71" s="212" t="s">
        <v>756</v>
      </c>
      <c r="D71" s="205" t="s">
        <v>57</v>
      </c>
      <c r="E71" s="260"/>
      <c r="F71" s="229"/>
      <c r="G71" s="266">
        <v>3695</v>
      </c>
      <c r="H71" s="229">
        <f t="shared" si="4"/>
        <v>443.4</v>
      </c>
      <c r="I71" s="229">
        <f t="shared" si="5"/>
        <v>4138.3999999999996</v>
      </c>
      <c r="J71" s="228">
        <v>0.12</v>
      </c>
    </row>
    <row r="72" spans="1:13" s="6" customFormat="1" ht="18" customHeight="1">
      <c r="A72" s="347"/>
      <c r="B72" s="201" t="s">
        <v>218</v>
      </c>
      <c r="C72" s="212" t="s">
        <v>757</v>
      </c>
      <c r="D72" s="205" t="s">
        <v>57</v>
      </c>
      <c r="E72" s="260"/>
      <c r="F72" s="229"/>
      <c r="G72" s="266">
        <v>5021.5</v>
      </c>
      <c r="H72" s="229">
        <f t="shared" si="4"/>
        <v>602.57999999999993</v>
      </c>
      <c r="I72" s="229">
        <f t="shared" si="5"/>
        <v>5624.08</v>
      </c>
      <c r="J72" s="228">
        <v>0.12</v>
      </c>
    </row>
    <row r="73" spans="1:13" s="6" customFormat="1" ht="18" customHeight="1">
      <c r="A73" s="347"/>
      <c r="B73" s="201" t="s">
        <v>220</v>
      </c>
      <c r="C73" s="212" t="s">
        <v>758</v>
      </c>
      <c r="D73" s="205" t="s">
        <v>57</v>
      </c>
      <c r="E73" s="260"/>
      <c r="F73" s="229"/>
      <c r="G73" s="266">
        <v>8856</v>
      </c>
      <c r="H73" s="229">
        <f t="shared" si="4"/>
        <v>1062.72</v>
      </c>
      <c r="I73" s="229">
        <f t="shared" si="5"/>
        <v>9918.7199999999993</v>
      </c>
      <c r="J73" s="228">
        <v>0.12</v>
      </c>
    </row>
    <row r="74" spans="1:13" s="6" customFormat="1" ht="18" customHeight="1">
      <c r="A74" s="347"/>
      <c r="B74" s="201" t="s">
        <v>222</v>
      </c>
      <c r="C74" s="212" t="s">
        <v>759</v>
      </c>
      <c r="D74" s="205" t="s">
        <v>57</v>
      </c>
      <c r="E74" s="260"/>
      <c r="F74" s="229"/>
      <c r="G74" s="266">
        <v>8592</v>
      </c>
      <c r="H74" s="229">
        <f t="shared" si="4"/>
        <v>1031.04</v>
      </c>
      <c r="I74" s="229">
        <f t="shared" si="5"/>
        <v>9623.0400000000009</v>
      </c>
      <c r="J74" s="228">
        <v>0.12</v>
      </c>
    </row>
    <row r="75" spans="1:13" s="6" customFormat="1" ht="18" customHeight="1">
      <c r="A75" s="348"/>
      <c r="B75" s="201" t="s">
        <v>224</v>
      </c>
      <c r="C75" s="212" t="s">
        <v>760</v>
      </c>
      <c r="D75" s="205" t="s">
        <v>57</v>
      </c>
      <c r="E75" s="260"/>
      <c r="F75" s="229"/>
      <c r="G75" s="266">
        <v>5738</v>
      </c>
      <c r="H75" s="229">
        <f t="shared" si="4"/>
        <v>688.56</v>
      </c>
      <c r="I75" s="229">
        <f t="shared" si="5"/>
        <v>6426.5599999999995</v>
      </c>
      <c r="J75" s="228">
        <v>0.12</v>
      </c>
    </row>
    <row r="76" spans="1:13" s="6" customFormat="1" ht="17.25" customHeight="1">
      <c r="A76" s="353">
        <v>57</v>
      </c>
      <c r="B76" s="201"/>
      <c r="C76" s="224" t="s">
        <v>424</v>
      </c>
      <c r="D76" s="225"/>
      <c r="E76" s="225"/>
      <c r="F76" s="225"/>
      <c r="G76" s="234"/>
      <c r="H76" s="234"/>
      <c r="I76" s="234"/>
      <c r="J76" s="267"/>
    </row>
    <row r="77" spans="1:13" s="6" customFormat="1" ht="19.5" customHeight="1">
      <c r="A77" s="353"/>
      <c r="B77" s="205" t="s">
        <v>8</v>
      </c>
      <c r="C77" s="212" t="s">
        <v>425</v>
      </c>
      <c r="D77" s="205" t="s">
        <v>5</v>
      </c>
      <c r="E77" s="216">
        <v>7130830854</v>
      </c>
      <c r="F77" s="213">
        <v>23.91</v>
      </c>
      <c r="G77" s="229">
        <f>F77*1.033</f>
        <v>24.699029999999997</v>
      </c>
      <c r="H77" s="229">
        <f>G77*18%</f>
        <v>4.4458253999999995</v>
      </c>
      <c r="I77" s="229">
        <f>G77+H77</f>
        <v>29.144855399999997</v>
      </c>
      <c r="J77" s="228">
        <v>0.18</v>
      </c>
    </row>
    <row r="78" spans="1:13" s="6" customFormat="1" ht="19.5" customHeight="1">
      <c r="A78" s="353"/>
      <c r="B78" s="205" t="s">
        <v>11</v>
      </c>
      <c r="C78" s="212" t="s">
        <v>35</v>
      </c>
      <c r="D78" s="205" t="s">
        <v>5</v>
      </c>
      <c r="E78" s="205">
        <v>7130830050</v>
      </c>
      <c r="F78" s="213">
        <v>29.65</v>
      </c>
      <c r="G78" s="229">
        <f>F78*1.033</f>
        <v>30.628449999999997</v>
      </c>
      <c r="H78" s="229">
        <f>G78*18%</f>
        <v>5.5131209999999991</v>
      </c>
      <c r="I78" s="229">
        <f>G78+H78</f>
        <v>36.141570999999999</v>
      </c>
      <c r="J78" s="228">
        <v>0.18</v>
      </c>
    </row>
    <row r="79" spans="1:13" s="6" customFormat="1" ht="19.5" customHeight="1">
      <c r="A79" s="353"/>
      <c r="B79" s="205" t="s">
        <v>32</v>
      </c>
      <c r="C79" s="268" t="s">
        <v>426</v>
      </c>
      <c r="D79" s="205" t="s">
        <v>5</v>
      </c>
      <c r="E79" s="205">
        <v>7130830051</v>
      </c>
      <c r="F79" s="213">
        <v>115.73</v>
      </c>
      <c r="G79" s="229">
        <f>F79*1.033</f>
        <v>119.54908999999999</v>
      </c>
      <c r="H79" s="229">
        <f>G79*18%</f>
        <v>21.518836199999999</v>
      </c>
      <c r="I79" s="229">
        <f>G79+H79</f>
        <v>141.06792619999999</v>
      </c>
      <c r="J79" s="228">
        <v>0.18</v>
      </c>
    </row>
    <row r="80" spans="1:13" s="6" customFormat="1" ht="19.5" customHeight="1">
      <c r="A80" s="353"/>
      <c r="B80" s="205" t="s">
        <v>15</v>
      </c>
      <c r="C80" s="212" t="s">
        <v>36</v>
      </c>
      <c r="D80" s="205" t="s">
        <v>5</v>
      </c>
      <c r="E80" s="205">
        <v>7130830971</v>
      </c>
      <c r="F80" s="213">
        <v>178.86</v>
      </c>
      <c r="G80" s="229">
        <f>F80*1.033</f>
        <v>184.76238000000001</v>
      </c>
      <c r="H80" s="229">
        <f>G80*18%</f>
        <v>33.257228400000002</v>
      </c>
      <c r="I80" s="229">
        <f>G80+H80</f>
        <v>218.01960840000001</v>
      </c>
      <c r="J80" s="228">
        <v>0.18</v>
      </c>
    </row>
    <row r="81" spans="1:10" s="6" customFormat="1" ht="25.5" customHeight="1">
      <c r="A81" s="353">
        <v>58</v>
      </c>
      <c r="B81" s="201"/>
      <c r="C81" s="224" t="s">
        <v>34</v>
      </c>
      <c r="D81" s="225"/>
      <c r="E81" s="225"/>
      <c r="F81" s="225"/>
      <c r="G81" s="234"/>
      <c r="H81" s="234"/>
      <c r="I81" s="234"/>
      <c r="J81" s="204"/>
    </row>
    <row r="82" spans="1:10" s="6" customFormat="1" ht="17.25" customHeight="1">
      <c r="A82" s="353"/>
      <c r="B82" s="205" t="s">
        <v>8</v>
      </c>
      <c r="C82" s="212" t="s">
        <v>35</v>
      </c>
      <c r="D82" s="205" t="s">
        <v>5</v>
      </c>
      <c r="E82" s="216">
        <v>7130830586</v>
      </c>
      <c r="F82" s="213">
        <v>175.03</v>
      </c>
      <c r="G82" s="229">
        <f>F82*1.033</f>
        <v>180.80598999999998</v>
      </c>
      <c r="H82" s="229">
        <f>G82*18%</f>
        <v>32.545078199999992</v>
      </c>
      <c r="I82" s="229">
        <f>G82+H82</f>
        <v>213.35106819999999</v>
      </c>
      <c r="J82" s="228">
        <v>0.18</v>
      </c>
    </row>
    <row r="83" spans="1:10" s="6" customFormat="1" ht="17.25" customHeight="1">
      <c r="A83" s="353"/>
      <c r="B83" s="205" t="s">
        <v>11</v>
      </c>
      <c r="C83" s="212" t="s">
        <v>426</v>
      </c>
      <c r="D83" s="205" t="s">
        <v>5</v>
      </c>
      <c r="E83" s="216">
        <v>7130830585</v>
      </c>
      <c r="F83" s="213">
        <v>219.03</v>
      </c>
      <c r="G83" s="229">
        <f>F83*1.033</f>
        <v>226.25798999999998</v>
      </c>
      <c r="H83" s="229">
        <f>G83*18%</f>
        <v>40.726438199999997</v>
      </c>
      <c r="I83" s="229">
        <f>G83+H83</f>
        <v>266.98442819999997</v>
      </c>
      <c r="J83" s="228">
        <v>0.18</v>
      </c>
    </row>
    <row r="84" spans="1:10" s="6" customFormat="1" ht="17.25" customHeight="1">
      <c r="A84" s="353"/>
      <c r="B84" s="205" t="s">
        <v>32</v>
      </c>
      <c r="C84" s="212" t="s">
        <v>36</v>
      </c>
      <c r="D84" s="205" t="s">
        <v>5</v>
      </c>
      <c r="E84" s="205">
        <v>7130830586</v>
      </c>
      <c r="F84" s="213">
        <v>256.33</v>
      </c>
      <c r="G84" s="229">
        <f>F84*1.033</f>
        <v>264.78888999999998</v>
      </c>
      <c r="H84" s="229">
        <f>G84*18%</f>
        <v>47.662000199999994</v>
      </c>
      <c r="I84" s="229">
        <f>G84+H84</f>
        <v>312.4508902</v>
      </c>
      <c r="J84" s="228">
        <v>0.18</v>
      </c>
    </row>
    <row r="85" spans="1:10" s="6" customFormat="1" ht="18" customHeight="1">
      <c r="A85" s="346">
        <v>59</v>
      </c>
      <c r="B85" s="201"/>
      <c r="C85" s="202" t="s">
        <v>427</v>
      </c>
      <c r="D85" s="227"/>
      <c r="E85" s="269"/>
      <c r="F85" s="234"/>
      <c r="G85" s="234"/>
      <c r="H85" s="234"/>
      <c r="I85" s="234"/>
      <c r="J85" s="204"/>
    </row>
    <row r="86" spans="1:10" s="6" customFormat="1" ht="18" customHeight="1">
      <c r="A86" s="347"/>
      <c r="B86" s="205" t="s">
        <v>8</v>
      </c>
      <c r="C86" s="206" t="s">
        <v>428</v>
      </c>
      <c r="D86" s="207" t="s">
        <v>5</v>
      </c>
      <c r="E86" s="208">
        <v>7130830052</v>
      </c>
      <c r="F86" s="209">
        <v>520.64</v>
      </c>
      <c r="G86" s="235">
        <f>F86*1.059</f>
        <v>551.35775999999998</v>
      </c>
      <c r="H86" s="235">
        <f t="shared" ref="H86:H92" si="6">G86*18%</f>
        <v>99.24439679999999</v>
      </c>
      <c r="I86" s="235">
        <f t="shared" ref="I86:I92" si="7">G86+H86</f>
        <v>650.60215679999999</v>
      </c>
      <c r="J86" s="236">
        <v>0.18</v>
      </c>
    </row>
    <row r="87" spans="1:10" s="6" customFormat="1" ht="18" customHeight="1">
      <c r="A87" s="347"/>
      <c r="B87" s="205" t="s">
        <v>11</v>
      </c>
      <c r="C87" s="212" t="s">
        <v>429</v>
      </c>
      <c r="D87" s="205" t="s">
        <v>5</v>
      </c>
      <c r="E87" s="216">
        <v>7130830054</v>
      </c>
      <c r="F87" s="213">
        <v>304.05</v>
      </c>
      <c r="G87" s="229">
        <f>F87*1.059</f>
        <v>321.98894999999999</v>
      </c>
      <c r="H87" s="229">
        <f t="shared" si="6"/>
        <v>57.958010999999999</v>
      </c>
      <c r="I87" s="229">
        <f t="shared" si="7"/>
        <v>379.94696099999999</v>
      </c>
      <c r="J87" s="228">
        <v>0.18</v>
      </c>
    </row>
    <row r="88" spans="1:10" s="6" customFormat="1" ht="18" customHeight="1">
      <c r="A88" s="347"/>
      <c r="B88" s="205" t="s">
        <v>32</v>
      </c>
      <c r="C88" s="212" t="s">
        <v>430</v>
      </c>
      <c r="D88" s="205" t="s">
        <v>5</v>
      </c>
      <c r="E88" s="216">
        <v>7130830056</v>
      </c>
      <c r="F88" s="213">
        <v>304.05</v>
      </c>
      <c r="G88" s="229">
        <f>F88*1.059</f>
        <v>321.98894999999999</v>
      </c>
      <c r="H88" s="229">
        <f t="shared" si="6"/>
        <v>57.958010999999999</v>
      </c>
      <c r="I88" s="229">
        <f t="shared" si="7"/>
        <v>379.94696099999999</v>
      </c>
      <c r="J88" s="228">
        <v>0.18</v>
      </c>
    </row>
    <row r="89" spans="1:10" s="6" customFormat="1" ht="18" customHeight="1">
      <c r="A89" s="347"/>
      <c r="B89" s="205" t="s">
        <v>15</v>
      </c>
      <c r="C89" s="212" t="s">
        <v>431</v>
      </c>
      <c r="D89" s="205" t="s">
        <v>5</v>
      </c>
      <c r="E89" s="216">
        <v>7130830058</v>
      </c>
      <c r="F89" s="213">
        <v>154.57</v>
      </c>
      <c r="G89" s="229">
        <f>F89*1.059</f>
        <v>163.68962999999999</v>
      </c>
      <c r="H89" s="229">
        <f t="shared" si="6"/>
        <v>29.464133399999998</v>
      </c>
      <c r="I89" s="229">
        <f t="shared" si="7"/>
        <v>193.1537634</v>
      </c>
      <c r="J89" s="228">
        <v>0.18</v>
      </c>
    </row>
    <row r="90" spans="1:10" s="6" customFormat="1" ht="18" customHeight="1">
      <c r="A90" s="348"/>
      <c r="B90" s="205" t="s">
        <v>88</v>
      </c>
      <c r="C90" s="212" t="s">
        <v>432</v>
      </c>
      <c r="D90" s="205" t="s">
        <v>5</v>
      </c>
      <c r="E90" s="216">
        <v>7130830603</v>
      </c>
      <c r="F90" s="213">
        <v>226.76</v>
      </c>
      <c r="G90" s="229">
        <f>F90*1.059</f>
        <v>240.13883999999999</v>
      </c>
      <c r="H90" s="229">
        <f t="shared" si="6"/>
        <v>43.224991199999998</v>
      </c>
      <c r="I90" s="229">
        <f t="shared" si="7"/>
        <v>283.36383119999999</v>
      </c>
      <c r="J90" s="228">
        <v>0.18</v>
      </c>
    </row>
    <row r="91" spans="1:10" s="48" customFormat="1" ht="19.5" customHeight="1">
      <c r="A91" s="205">
        <v>60</v>
      </c>
      <c r="B91" s="270"/>
      <c r="C91" s="212" t="s">
        <v>433</v>
      </c>
      <c r="D91" s="205" t="s">
        <v>48</v>
      </c>
      <c r="E91" s="216">
        <v>7130830006</v>
      </c>
      <c r="F91" s="213">
        <v>127.53</v>
      </c>
      <c r="G91" s="229">
        <f>F91*1.033</f>
        <v>131.73848999999998</v>
      </c>
      <c r="H91" s="229">
        <f t="shared" si="6"/>
        <v>23.712928199999997</v>
      </c>
      <c r="I91" s="229">
        <f t="shared" si="7"/>
        <v>155.45141819999998</v>
      </c>
      <c r="J91" s="228">
        <v>0.18</v>
      </c>
    </row>
    <row r="92" spans="1:10" s="48" customFormat="1" ht="19.5" customHeight="1">
      <c r="A92" s="205">
        <v>61</v>
      </c>
      <c r="B92" s="270"/>
      <c r="C92" s="218" t="s">
        <v>434</v>
      </c>
      <c r="D92" s="219" t="s">
        <v>5</v>
      </c>
      <c r="E92" s="220">
        <v>7130820201</v>
      </c>
      <c r="F92" s="221">
        <v>29.21</v>
      </c>
      <c r="G92" s="232">
        <f>F92*1.033</f>
        <v>30.173929999999999</v>
      </c>
      <c r="H92" s="232">
        <f t="shared" si="6"/>
        <v>5.4313073999999997</v>
      </c>
      <c r="I92" s="232">
        <f t="shared" si="7"/>
        <v>35.6052374</v>
      </c>
      <c r="J92" s="233">
        <v>0.18</v>
      </c>
    </row>
    <row r="93" spans="1:10" s="6" customFormat="1" ht="57" customHeight="1">
      <c r="A93" s="346">
        <v>94</v>
      </c>
      <c r="C93" s="224" t="s">
        <v>562</v>
      </c>
      <c r="D93" s="271"/>
      <c r="E93" s="271"/>
      <c r="F93" s="271"/>
      <c r="G93" s="234"/>
      <c r="H93" s="234"/>
      <c r="I93" s="234"/>
      <c r="J93" s="204"/>
    </row>
    <row r="94" spans="1:10" s="44" customFormat="1" ht="19.5" customHeight="1">
      <c r="A94" s="347"/>
      <c r="B94" s="231" t="s">
        <v>8</v>
      </c>
      <c r="C94" s="230" t="s">
        <v>563</v>
      </c>
      <c r="D94" s="231" t="s">
        <v>5</v>
      </c>
      <c r="E94" s="231">
        <v>7130800068</v>
      </c>
      <c r="F94" s="213">
        <v>9954.33</v>
      </c>
      <c r="G94" s="253" t="s">
        <v>707</v>
      </c>
      <c r="H94" s="235"/>
      <c r="I94" s="253" t="s">
        <v>707</v>
      </c>
      <c r="J94" s="228">
        <v>0.18</v>
      </c>
    </row>
    <row r="95" spans="1:10" s="44" customFormat="1" ht="19.5" customHeight="1">
      <c r="A95" s="348"/>
      <c r="B95" s="231" t="s">
        <v>11</v>
      </c>
      <c r="C95" s="230" t="s">
        <v>564</v>
      </c>
      <c r="D95" s="231" t="s">
        <v>5</v>
      </c>
      <c r="E95" s="231">
        <v>7130800014</v>
      </c>
      <c r="F95" s="213">
        <v>5940.71</v>
      </c>
      <c r="G95" s="253" t="s">
        <v>707</v>
      </c>
      <c r="H95" s="229"/>
      <c r="I95" s="253" t="s">
        <v>707</v>
      </c>
      <c r="J95" s="228">
        <v>0.18</v>
      </c>
    </row>
    <row r="96" spans="1:10" s="6" customFormat="1" ht="16.5" customHeight="1">
      <c r="A96" s="205">
        <v>96</v>
      </c>
      <c r="B96" s="205"/>
      <c r="C96" s="230" t="s">
        <v>565</v>
      </c>
      <c r="D96" s="205" t="s">
        <v>5</v>
      </c>
      <c r="E96" s="205">
        <v>7132459005</v>
      </c>
      <c r="F96" s="213">
        <v>4.96</v>
      </c>
      <c r="G96" s="229">
        <f>F96*1</f>
        <v>4.96</v>
      </c>
      <c r="H96" s="229">
        <f>G96*18%</f>
        <v>0.89279999999999993</v>
      </c>
      <c r="I96" s="229">
        <f>G96+H96</f>
        <v>5.8528000000000002</v>
      </c>
      <c r="J96" s="228">
        <v>0.18</v>
      </c>
    </row>
    <row r="97" spans="1:10" s="6" customFormat="1" ht="16.5" customHeight="1">
      <c r="A97" s="231">
        <v>97</v>
      </c>
      <c r="B97" s="270"/>
      <c r="C97" s="272" t="s">
        <v>43</v>
      </c>
      <c r="D97" s="273" t="s">
        <v>60</v>
      </c>
      <c r="E97" s="219">
        <v>7132444005</v>
      </c>
      <c r="F97" s="221">
        <v>7.62</v>
      </c>
      <c r="G97" s="232">
        <f>F97*1</f>
        <v>7.62</v>
      </c>
      <c r="H97" s="232">
        <f>G97*18%</f>
        <v>1.3715999999999999</v>
      </c>
      <c r="I97" s="232">
        <f>G97+H97</f>
        <v>8.9916</v>
      </c>
      <c r="J97" s="233">
        <v>0.18</v>
      </c>
    </row>
    <row r="98" spans="1:10" s="6" customFormat="1" ht="18.75" customHeight="1">
      <c r="A98" s="346">
        <v>99</v>
      </c>
      <c r="B98" s="274"/>
      <c r="C98" s="224" t="s">
        <v>571</v>
      </c>
      <c r="D98" s="225"/>
      <c r="E98" s="225"/>
      <c r="F98" s="225"/>
      <c r="G98" s="234"/>
      <c r="H98" s="234"/>
      <c r="I98" s="234"/>
      <c r="J98" s="204"/>
    </row>
    <row r="99" spans="1:10" s="6" customFormat="1" ht="19.5" customHeight="1">
      <c r="A99" s="347"/>
      <c r="B99" s="231"/>
      <c r="C99" s="275" t="s">
        <v>572</v>
      </c>
      <c r="D99" s="276" t="s">
        <v>25</v>
      </c>
      <c r="E99" s="276">
        <v>7130890008</v>
      </c>
      <c r="F99" s="277">
        <v>48.57</v>
      </c>
      <c r="G99" s="277">
        <f>F99*1</f>
        <v>48.57</v>
      </c>
      <c r="H99" s="277">
        <f>G99*18%</f>
        <v>8.7425999999999995</v>
      </c>
      <c r="I99" s="277">
        <f>G99+H99</f>
        <v>57.312600000000003</v>
      </c>
      <c r="J99" s="278">
        <v>0.18</v>
      </c>
    </row>
    <row r="100" spans="1:10" s="6" customFormat="1" ht="25.35" customHeight="1">
      <c r="A100" s="346">
        <v>102</v>
      </c>
      <c r="B100" s="274"/>
      <c r="C100" s="224" t="s">
        <v>44</v>
      </c>
      <c r="D100" s="225"/>
      <c r="E100" s="225"/>
      <c r="F100" s="279"/>
      <c r="G100" s="234"/>
      <c r="H100" s="234"/>
      <c r="I100" s="234"/>
      <c r="J100" s="204"/>
    </row>
    <row r="101" spans="1:10" s="6" customFormat="1" ht="18" customHeight="1">
      <c r="A101" s="347"/>
      <c r="B101" s="231">
        <v>1</v>
      </c>
      <c r="C101" s="280" t="s">
        <v>589</v>
      </c>
      <c r="D101" s="281" t="s">
        <v>25</v>
      </c>
      <c r="E101" s="281">
        <v>7131387501</v>
      </c>
      <c r="F101" s="209">
        <v>205.71</v>
      </c>
      <c r="G101" s="235">
        <f t="shared" ref="G101:G106" si="8">F101*1</f>
        <v>205.71</v>
      </c>
      <c r="H101" s="235">
        <f t="shared" ref="H101:H106" si="9">G101*18%</f>
        <v>37.027799999999999</v>
      </c>
      <c r="I101" s="235">
        <f t="shared" ref="I101:I106" si="10">G101+H101</f>
        <v>242.73779999999999</v>
      </c>
      <c r="J101" s="236">
        <v>0.18</v>
      </c>
    </row>
    <row r="102" spans="1:10" s="6" customFormat="1" ht="18" customHeight="1">
      <c r="A102" s="347"/>
      <c r="B102" s="231">
        <v>2</v>
      </c>
      <c r="C102" s="230" t="s">
        <v>590</v>
      </c>
      <c r="D102" s="231" t="s">
        <v>25</v>
      </c>
      <c r="E102" s="260">
        <v>7131320009</v>
      </c>
      <c r="F102" s="213">
        <v>2571.4299999999998</v>
      </c>
      <c r="G102" s="229">
        <f t="shared" si="8"/>
        <v>2571.4299999999998</v>
      </c>
      <c r="H102" s="229">
        <f t="shared" si="9"/>
        <v>462.85739999999993</v>
      </c>
      <c r="I102" s="229">
        <f t="shared" si="10"/>
        <v>3034.2873999999997</v>
      </c>
      <c r="J102" s="228">
        <v>0.18</v>
      </c>
    </row>
    <row r="103" spans="1:10" s="6" customFormat="1" ht="18.75" customHeight="1">
      <c r="A103" s="347"/>
      <c r="B103" s="231">
        <v>3</v>
      </c>
      <c r="C103" s="230" t="s">
        <v>591</v>
      </c>
      <c r="D103" s="231" t="s">
        <v>58</v>
      </c>
      <c r="E103" s="260">
        <v>7132411894</v>
      </c>
      <c r="F103" s="213">
        <v>456.48</v>
      </c>
      <c r="G103" s="229">
        <f>F103*0.992</f>
        <v>452.82816000000003</v>
      </c>
      <c r="H103" s="229">
        <f t="shared" si="9"/>
        <v>81.509068800000009</v>
      </c>
      <c r="I103" s="229">
        <f t="shared" si="10"/>
        <v>534.33722880000005</v>
      </c>
      <c r="J103" s="228">
        <v>0.18</v>
      </c>
    </row>
    <row r="104" spans="1:10" s="6" customFormat="1" ht="15.75" customHeight="1">
      <c r="A104" s="347"/>
      <c r="B104" s="231">
        <v>4</v>
      </c>
      <c r="C104" s="230" t="s">
        <v>592</v>
      </c>
      <c r="D104" s="231" t="s">
        <v>25</v>
      </c>
      <c r="E104" s="231">
        <v>7131387502</v>
      </c>
      <c r="F104" s="213">
        <v>406.99</v>
      </c>
      <c r="G104" s="229">
        <f t="shared" si="8"/>
        <v>406.99</v>
      </c>
      <c r="H104" s="229">
        <f t="shared" si="9"/>
        <v>73.258200000000002</v>
      </c>
      <c r="I104" s="229">
        <f t="shared" si="10"/>
        <v>480.2482</v>
      </c>
      <c r="J104" s="228">
        <v>0.18</v>
      </c>
    </row>
    <row r="105" spans="1:10" s="6" customFormat="1" ht="15.75" customHeight="1">
      <c r="A105" s="347"/>
      <c r="B105" s="231">
        <v>5</v>
      </c>
      <c r="C105" s="230" t="s">
        <v>593</v>
      </c>
      <c r="D105" s="231" t="s">
        <v>25</v>
      </c>
      <c r="E105" s="231">
        <v>7132014014</v>
      </c>
      <c r="F105" s="213">
        <v>2571.4299999999998</v>
      </c>
      <c r="G105" s="229">
        <f t="shared" si="8"/>
        <v>2571.4299999999998</v>
      </c>
      <c r="H105" s="229">
        <f t="shared" si="9"/>
        <v>462.85739999999993</v>
      </c>
      <c r="I105" s="229">
        <f t="shared" si="10"/>
        <v>3034.2873999999997</v>
      </c>
      <c r="J105" s="228">
        <v>0.18</v>
      </c>
    </row>
    <row r="106" spans="1:10" s="6" customFormat="1" ht="15.75" customHeight="1">
      <c r="A106" s="347"/>
      <c r="B106" s="231">
        <v>6</v>
      </c>
      <c r="C106" s="230" t="s">
        <v>594</v>
      </c>
      <c r="D106" s="231" t="s">
        <v>25</v>
      </c>
      <c r="E106" s="231">
        <v>7131324780</v>
      </c>
      <c r="F106" s="213">
        <v>3085.71</v>
      </c>
      <c r="G106" s="229">
        <f t="shared" si="8"/>
        <v>3085.71</v>
      </c>
      <c r="H106" s="229">
        <f t="shared" si="9"/>
        <v>555.42779999999993</v>
      </c>
      <c r="I106" s="229">
        <f t="shared" si="10"/>
        <v>3641.1378</v>
      </c>
      <c r="J106" s="228">
        <v>0.18</v>
      </c>
    </row>
    <row r="107" spans="1:10" s="6" customFormat="1" ht="18" customHeight="1">
      <c r="A107" s="347"/>
      <c r="B107" s="231">
        <v>7</v>
      </c>
      <c r="C107" s="230" t="s">
        <v>595</v>
      </c>
      <c r="D107" s="231" t="s">
        <v>25</v>
      </c>
      <c r="E107" s="260">
        <v>7131324806</v>
      </c>
      <c r="F107" s="213">
        <v>4650.6400000000003</v>
      </c>
      <c r="G107" s="229">
        <f t="shared" ref="G107:G144" si="11">F107*1</f>
        <v>4650.6400000000003</v>
      </c>
      <c r="H107" s="229">
        <f t="shared" ref="H107:H145" si="12">G107*18%</f>
        <v>837.11520000000007</v>
      </c>
      <c r="I107" s="229">
        <f t="shared" ref="I107:I145" si="13">G107+H107</f>
        <v>5487.7552000000005</v>
      </c>
      <c r="J107" s="228">
        <v>0.18</v>
      </c>
    </row>
    <row r="108" spans="1:10" s="6" customFormat="1" ht="18" customHeight="1">
      <c r="A108" s="347"/>
      <c r="B108" s="231">
        <v>8</v>
      </c>
      <c r="C108" s="230" t="s">
        <v>596</v>
      </c>
      <c r="D108" s="231" t="s">
        <v>48</v>
      </c>
      <c r="E108" s="231">
        <v>7132438002</v>
      </c>
      <c r="F108" s="213">
        <v>154.86000000000001</v>
      </c>
      <c r="G108" s="229">
        <f t="shared" si="11"/>
        <v>154.86000000000001</v>
      </c>
      <c r="H108" s="229">
        <f t="shared" si="12"/>
        <v>27.8748</v>
      </c>
      <c r="I108" s="229">
        <f t="shared" si="13"/>
        <v>182.73480000000001</v>
      </c>
      <c r="J108" s="228">
        <v>0.18</v>
      </c>
    </row>
    <row r="109" spans="1:10" s="6" customFormat="1" ht="32.25" customHeight="1">
      <c r="A109" s="347"/>
      <c r="B109" s="231">
        <v>9</v>
      </c>
      <c r="C109" s="230" t="s">
        <v>597</v>
      </c>
      <c r="D109" s="231" t="s">
        <v>50</v>
      </c>
      <c r="E109" s="231">
        <v>7132444007</v>
      </c>
      <c r="F109" s="213">
        <v>850.18</v>
      </c>
      <c r="G109" s="229">
        <f t="shared" si="11"/>
        <v>850.18</v>
      </c>
      <c r="H109" s="229">
        <f t="shared" si="12"/>
        <v>153.0324</v>
      </c>
      <c r="I109" s="229">
        <f t="shared" si="13"/>
        <v>1003.2123999999999</v>
      </c>
      <c r="J109" s="228">
        <v>0.18</v>
      </c>
    </row>
    <row r="110" spans="1:10" s="6" customFormat="1" ht="19.5" customHeight="1">
      <c r="A110" s="347"/>
      <c r="B110" s="231">
        <v>10</v>
      </c>
      <c r="C110" s="230" t="s">
        <v>598</v>
      </c>
      <c r="D110" s="231" t="s">
        <v>25</v>
      </c>
      <c r="E110" s="231">
        <v>7131210001</v>
      </c>
      <c r="F110" s="213">
        <v>101.3</v>
      </c>
      <c r="G110" s="229">
        <f t="shared" si="11"/>
        <v>101.3</v>
      </c>
      <c r="H110" s="229">
        <f t="shared" si="12"/>
        <v>18.233999999999998</v>
      </c>
      <c r="I110" s="229">
        <f t="shared" si="13"/>
        <v>119.53399999999999</v>
      </c>
      <c r="J110" s="228">
        <v>0.18</v>
      </c>
    </row>
    <row r="111" spans="1:10" s="6" customFormat="1" ht="44.25" customHeight="1">
      <c r="A111" s="347"/>
      <c r="B111" s="231">
        <v>11</v>
      </c>
      <c r="C111" s="230" t="s">
        <v>599</v>
      </c>
      <c r="D111" s="231" t="s">
        <v>50</v>
      </c>
      <c r="E111" s="231">
        <v>7132074032</v>
      </c>
      <c r="F111" s="213">
        <v>1361.94</v>
      </c>
      <c r="G111" s="229">
        <f t="shared" si="11"/>
        <v>1361.94</v>
      </c>
      <c r="H111" s="229">
        <f t="shared" si="12"/>
        <v>245.14920000000001</v>
      </c>
      <c r="I111" s="229">
        <f t="shared" si="13"/>
        <v>1607.0892000000001</v>
      </c>
      <c r="J111" s="228">
        <v>0.18</v>
      </c>
    </row>
    <row r="112" spans="1:10" s="6" customFormat="1" ht="18" customHeight="1">
      <c r="A112" s="347"/>
      <c r="B112" s="231">
        <v>12</v>
      </c>
      <c r="C112" s="230" t="s">
        <v>600</v>
      </c>
      <c r="D112" s="231" t="s">
        <v>50</v>
      </c>
      <c r="E112" s="231">
        <v>7132074033</v>
      </c>
      <c r="F112" s="213">
        <v>562.84</v>
      </c>
      <c r="G112" s="229">
        <f t="shared" si="11"/>
        <v>562.84</v>
      </c>
      <c r="H112" s="229">
        <f t="shared" si="12"/>
        <v>101.3112</v>
      </c>
      <c r="I112" s="229">
        <f t="shared" si="13"/>
        <v>664.15120000000002</v>
      </c>
      <c r="J112" s="228">
        <v>0.18</v>
      </c>
    </row>
    <row r="113" spans="1:10" s="44" customFormat="1" ht="18" customHeight="1">
      <c r="A113" s="347"/>
      <c r="B113" s="231">
        <v>13</v>
      </c>
      <c r="C113" s="230" t="s">
        <v>601</v>
      </c>
      <c r="D113" s="231" t="s">
        <v>25</v>
      </c>
      <c r="E113" s="231">
        <v>7132088614</v>
      </c>
      <c r="F113" s="213">
        <v>1034.29</v>
      </c>
      <c r="G113" s="229">
        <f t="shared" si="11"/>
        <v>1034.29</v>
      </c>
      <c r="H113" s="229">
        <f t="shared" si="12"/>
        <v>186.17219999999998</v>
      </c>
      <c r="I113" s="229">
        <f t="shared" si="13"/>
        <v>1220.4621999999999</v>
      </c>
      <c r="J113" s="228">
        <v>0.18</v>
      </c>
    </row>
    <row r="114" spans="1:10" s="44" customFormat="1" ht="18" customHeight="1">
      <c r="A114" s="347"/>
      <c r="B114" s="231">
        <v>14</v>
      </c>
      <c r="C114" s="230" t="s">
        <v>602</v>
      </c>
      <c r="D114" s="231" t="s">
        <v>25</v>
      </c>
      <c r="E114" s="231">
        <v>7132088615</v>
      </c>
      <c r="F114" s="213">
        <v>567.62</v>
      </c>
      <c r="G114" s="229">
        <f t="shared" si="11"/>
        <v>567.62</v>
      </c>
      <c r="H114" s="229">
        <f t="shared" si="12"/>
        <v>102.1716</v>
      </c>
      <c r="I114" s="229">
        <f t="shared" si="13"/>
        <v>669.79160000000002</v>
      </c>
      <c r="J114" s="228">
        <v>0.18</v>
      </c>
    </row>
    <row r="115" spans="1:10" s="6" customFormat="1" ht="44.25" customHeight="1">
      <c r="A115" s="347"/>
      <c r="B115" s="231">
        <v>15</v>
      </c>
      <c r="C115" s="230" t="s">
        <v>603</v>
      </c>
      <c r="D115" s="231" t="s">
        <v>50</v>
      </c>
      <c r="E115" s="231">
        <v>7132074034</v>
      </c>
      <c r="F115" s="213">
        <v>644.24</v>
      </c>
      <c r="G115" s="229">
        <f t="shared" si="11"/>
        <v>644.24</v>
      </c>
      <c r="H115" s="229">
        <f t="shared" si="12"/>
        <v>115.9632</v>
      </c>
      <c r="I115" s="229">
        <f t="shared" si="13"/>
        <v>760.20320000000004</v>
      </c>
      <c r="J115" s="228">
        <v>0.18</v>
      </c>
    </row>
    <row r="116" spans="1:10" s="6" customFormat="1" ht="18.75" customHeight="1">
      <c r="A116" s="347"/>
      <c r="B116" s="231">
        <v>16</v>
      </c>
      <c r="C116" s="230" t="s">
        <v>604</v>
      </c>
      <c r="D116" s="231" t="s">
        <v>25</v>
      </c>
      <c r="E116" s="231">
        <v>7132004003</v>
      </c>
      <c r="F116" s="213">
        <v>113.33</v>
      </c>
      <c r="G116" s="229">
        <f t="shared" si="11"/>
        <v>113.33</v>
      </c>
      <c r="H116" s="229">
        <f t="shared" si="12"/>
        <v>20.3994</v>
      </c>
      <c r="I116" s="229">
        <f t="shared" si="13"/>
        <v>133.7294</v>
      </c>
      <c r="J116" s="228">
        <v>0.18</v>
      </c>
    </row>
    <row r="117" spans="1:10" s="6" customFormat="1" ht="18.75" customHeight="1">
      <c r="A117" s="347"/>
      <c r="B117" s="231">
        <v>17</v>
      </c>
      <c r="C117" s="230" t="s">
        <v>605</v>
      </c>
      <c r="D117" s="231" t="s">
        <v>25</v>
      </c>
      <c r="E117" s="231">
        <v>7132478011</v>
      </c>
      <c r="F117" s="213">
        <v>508.42</v>
      </c>
      <c r="G117" s="229">
        <f t="shared" si="11"/>
        <v>508.42</v>
      </c>
      <c r="H117" s="229">
        <f t="shared" si="12"/>
        <v>91.515600000000006</v>
      </c>
      <c r="I117" s="229">
        <f t="shared" si="13"/>
        <v>599.93560000000002</v>
      </c>
      <c r="J117" s="228">
        <v>0.18</v>
      </c>
    </row>
    <row r="118" spans="1:10" s="6" customFormat="1" ht="18.75" customHeight="1">
      <c r="A118" s="347"/>
      <c r="B118" s="231">
        <v>18</v>
      </c>
      <c r="C118" s="230" t="s">
        <v>45</v>
      </c>
      <c r="D118" s="231" t="s">
        <v>25</v>
      </c>
      <c r="E118" s="231">
        <v>7132478012</v>
      </c>
      <c r="F118" s="213">
        <v>333.33</v>
      </c>
      <c r="G118" s="229">
        <f t="shared" si="11"/>
        <v>333.33</v>
      </c>
      <c r="H118" s="229">
        <f t="shared" si="12"/>
        <v>59.999399999999994</v>
      </c>
      <c r="I118" s="229">
        <f t="shared" si="13"/>
        <v>393.32939999999996</v>
      </c>
      <c r="J118" s="228">
        <v>0.18</v>
      </c>
    </row>
    <row r="119" spans="1:10" s="6" customFormat="1" ht="18.75" customHeight="1">
      <c r="A119" s="347"/>
      <c r="B119" s="231">
        <v>19</v>
      </c>
      <c r="C119" s="282" t="s">
        <v>606</v>
      </c>
      <c r="D119" s="231" t="s">
        <v>25</v>
      </c>
      <c r="E119" s="244"/>
      <c r="F119" s="213">
        <v>648.57000000000005</v>
      </c>
      <c r="G119" s="229">
        <f t="shared" si="11"/>
        <v>648.57000000000005</v>
      </c>
      <c r="H119" s="229">
        <f t="shared" si="12"/>
        <v>116.74260000000001</v>
      </c>
      <c r="I119" s="229">
        <f t="shared" si="13"/>
        <v>765.31260000000009</v>
      </c>
      <c r="J119" s="228">
        <v>0.18</v>
      </c>
    </row>
    <row r="120" spans="1:10" s="6" customFormat="1" ht="18.75" customHeight="1">
      <c r="A120" s="347"/>
      <c r="B120" s="231">
        <v>20</v>
      </c>
      <c r="C120" s="230" t="s">
        <v>607</v>
      </c>
      <c r="D120" s="231" t="s">
        <v>25</v>
      </c>
      <c r="E120" s="260">
        <v>7132061858</v>
      </c>
      <c r="F120" s="213">
        <v>194.56</v>
      </c>
      <c r="G120" s="229">
        <f t="shared" si="11"/>
        <v>194.56</v>
      </c>
      <c r="H120" s="229">
        <f t="shared" si="12"/>
        <v>35.020800000000001</v>
      </c>
      <c r="I120" s="229">
        <f t="shared" si="13"/>
        <v>229.58080000000001</v>
      </c>
      <c r="J120" s="228">
        <v>0.18</v>
      </c>
    </row>
    <row r="121" spans="1:10" s="6" customFormat="1" ht="18.75" customHeight="1">
      <c r="A121" s="347"/>
      <c r="B121" s="231">
        <v>21</v>
      </c>
      <c r="C121" s="230" t="s">
        <v>608</v>
      </c>
      <c r="D121" s="231" t="s">
        <v>25</v>
      </c>
      <c r="E121" s="260">
        <v>7132013331</v>
      </c>
      <c r="F121" s="213">
        <v>404.76</v>
      </c>
      <c r="G121" s="229">
        <f t="shared" si="11"/>
        <v>404.76</v>
      </c>
      <c r="H121" s="229">
        <f t="shared" si="12"/>
        <v>72.856799999999993</v>
      </c>
      <c r="I121" s="229">
        <f t="shared" si="13"/>
        <v>477.61680000000001</v>
      </c>
      <c r="J121" s="228">
        <v>0.18</v>
      </c>
    </row>
    <row r="122" spans="1:10" s="6" customFormat="1" ht="18.75" customHeight="1">
      <c r="A122" s="347"/>
      <c r="B122" s="231">
        <v>22</v>
      </c>
      <c r="C122" s="230" t="s">
        <v>609</v>
      </c>
      <c r="D122" s="231" t="s">
        <v>25</v>
      </c>
      <c r="E122" s="260">
        <v>7131338025</v>
      </c>
      <c r="F122" s="213">
        <v>48.64</v>
      </c>
      <c r="G122" s="229">
        <f t="shared" si="11"/>
        <v>48.64</v>
      </c>
      <c r="H122" s="229">
        <f t="shared" si="12"/>
        <v>8.7552000000000003</v>
      </c>
      <c r="I122" s="229">
        <f t="shared" si="13"/>
        <v>57.395200000000003</v>
      </c>
      <c r="J122" s="228">
        <v>0.18</v>
      </c>
    </row>
    <row r="123" spans="1:10" s="6" customFormat="1" ht="15.75" customHeight="1">
      <c r="A123" s="347"/>
      <c r="B123" s="231">
        <v>23</v>
      </c>
      <c r="C123" s="230" t="s">
        <v>610</v>
      </c>
      <c r="D123" s="231" t="s">
        <v>25</v>
      </c>
      <c r="E123" s="260">
        <v>7132072522</v>
      </c>
      <c r="F123" s="213">
        <v>707.77</v>
      </c>
      <c r="G123" s="242" t="s">
        <v>707</v>
      </c>
      <c r="H123" s="229"/>
      <c r="I123" s="242" t="s">
        <v>707</v>
      </c>
      <c r="J123" s="264"/>
    </row>
    <row r="124" spans="1:10" s="6" customFormat="1" ht="15.75" customHeight="1">
      <c r="A124" s="347"/>
      <c r="B124" s="231">
        <v>24</v>
      </c>
      <c r="C124" s="230" t="s">
        <v>611</v>
      </c>
      <c r="D124" s="231" t="s">
        <v>25</v>
      </c>
      <c r="E124" s="231">
        <v>7132072006</v>
      </c>
      <c r="F124" s="213">
        <v>62.54</v>
      </c>
      <c r="G124" s="229">
        <f t="shared" si="11"/>
        <v>62.54</v>
      </c>
      <c r="H124" s="229">
        <f t="shared" si="12"/>
        <v>11.257199999999999</v>
      </c>
      <c r="I124" s="229">
        <f t="shared" si="13"/>
        <v>73.797200000000004</v>
      </c>
      <c r="J124" s="236">
        <v>0.18</v>
      </c>
    </row>
    <row r="125" spans="1:10" s="6" customFormat="1" ht="15.75" customHeight="1">
      <c r="A125" s="347"/>
      <c r="B125" s="231">
        <v>25</v>
      </c>
      <c r="C125" s="230" t="s">
        <v>612</v>
      </c>
      <c r="D125" s="231" t="s">
        <v>25</v>
      </c>
      <c r="E125" s="231">
        <v>7132072007</v>
      </c>
      <c r="F125" s="213">
        <v>58.57</v>
      </c>
      <c r="G125" s="229">
        <f t="shared" si="11"/>
        <v>58.57</v>
      </c>
      <c r="H125" s="229">
        <f t="shared" si="12"/>
        <v>10.5426</v>
      </c>
      <c r="I125" s="229">
        <f t="shared" si="13"/>
        <v>69.1126</v>
      </c>
      <c r="J125" s="228">
        <v>0.18</v>
      </c>
    </row>
    <row r="126" spans="1:10" s="6" customFormat="1" ht="15.75" customHeight="1">
      <c r="A126" s="347"/>
      <c r="B126" s="231">
        <v>26</v>
      </c>
      <c r="C126" s="230" t="s">
        <v>613</v>
      </c>
      <c r="D126" s="231" t="s">
        <v>25</v>
      </c>
      <c r="E126" s="231">
        <v>7132072008</v>
      </c>
      <c r="F126" s="213">
        <v>54.6</v>
      </c>
      <c r="G126" s="229">
        <f t="shared" si="11"/>
        <v>54.6</v>
      </c>
      <c r="H126" s="229">
        <f t="shared" si="12"/>
        <v>9.8279999999999994</v>
      </c>
      <c r="I126" s="229">
        <f t="shared" si="13"/>
        <v>64.427999999999997</v>
      </c>
      <c r="J126" s="228">
        <v>0.18</v>
      </c>
    </row>
    <row r="127" spans="1:10" s="6" customFormat="1" ht="15.75" customHeight="1">
      <c r="A127" s="347"/>
      <c r="B127" s="231">
        <v>27</v>
      </c>
      <c r="C127" s="230" t="s">
        <v>614</v>
      </c>
      <c r="D127" s="231" t="s">
        <v>25</v>
      </c>
      <c r="E127" s="231">
        <v>7132028159</v>
      </c>
      <c r="F127" s="213">
        <v>941.9</v>
      </c>
      <c r="G127" s="229">
        <f t="shared" si="11"/>
        <v>941.9</v>
      </c>
      <c r="H127" s="229">
        <f t="shared" si="12"/>
        <v>169.542</v>
      </c>
      <c r="I127" s="229">
        <f t="shared" si="13"/>
        <v>1111.442</v>
      </c>
      <c r="J127" s="228">
        <v>0.18</v>
      </c>
    </row>
    <row r="128" spans="1:10" s="6" customFormat="1" ht="15.75" customHeight="1">
      <c r="A128" s="347"/>
      <c r="B128" s="231">
        <v>28</v>
      </c>
      <c r="C128" s="230" t="s">
        <v>615</v>
      </c>
      <c r="D128" s="231" t="s">
        <v>25</v>
      </c>
      <c r="E128" s="231">
        <v>7132028160</v>
      </c>
      <c r="F128" s="213">
        <v>291.43</v>
      </c>
      <c r="G128" s="229">
        <f t="shared" si="11"/>
        <v>291.43</v>
      </c>
      <c r="H128" s="229">
        <f t="shared" si="12"/>
        <v>52.4574</v>
      </c>
      <c r="I128" s="229">
        <f t="shared" si="13"/>
        <v>343.88740000000001</v>
      </c>
      <c r="J128" s="228">
        <v>0.18</v>
      </c>
    </row>
    <row r="129" spans="1:10" s="6" customFormat="1" ht="54" customHeight="1">
      <c r="A129" s="347"/>
      <c r="B129" s="231">
        <v>29</v>
      </c>
      <c r="C129" s="230" t="s">
        <v>616</v>
      </c>
      <c r="D129" s="231" t="s">
        <v>25</v>
      </c>
      <c r="E129" s="231">
        <v>7132002234</v>
      </c>
      <c r="F129" s="213">
        <v>175.7</v>
      </c>
      <c r="G129" s="229">
        <f t="shared" si="11"/>
        <v>175.7</v>
      </c>
      <c r="H129" s="229">
        <f t="shared" si="12"/>
        <v>31.625999999999998</v>
      </c>
      <c r="I129" s="229">
        <f t="shared" si="13"/>
        <v>207.32599999999999</v>
      </c>
      <c r="J129" s="228">
        <v>0.18</v>
      </c>
    </row>
    <row r="130" spans="1:10" s="6" customFormat="1" ht="19.5" customHeight="1">
      <c r="A130" s="347"/>
      <c r="B130" s="231">
        <v>30</v>
      </c>
      <c r="C130" s="230" t="s">
        <v>617</v>
      </c>
      <c r="D130" s="231" t="s">
        <v>25</v>
      </c>
      <c r="E130" s="231">
        <v>7132074035</v>
      </c>
      <c r="F130" s="213">
        <v>417.91</v>
      </c>
      <c r="G130" s="229">
        <f t="shared" si="11"/>
        <v>417.91</v>
      </c>
      <c r="H130" s="229">
        <f t="shared" si="12"/>
        <v>75.223799999999997</v>
      </c>
      <c r="I130" s="229">
        <f t="shared" si="13"/>
        <v>493.13380000000001</v>
      </c>
      <c r="J130" s="228">
        <v>0.18</v>
      </c>
    </row>
    <row r="131" spans="1:10" s="6" customFormat="1" ht="28.5" customHeight="1">
      <c r="A131" s="347"/>
      <c r="B131" s="231">
        <v>31</v>
      </c>
      <c r="C131" s="230" t="s">
        <v>618</v>
      </c>
      <c r="D131" s="231" t="s">
        <v>50</v>
      </c>
      <c r="E131" s="231">
        <v>7132074036</v>
      </c>
      <c r="F131" s="213">
        <v>1240.83</v>
      </c>
      <c r="G131" s="229">
        <f t="shared" si="11"/>
        <v>1240.83</v>
      </c>
      <c r="H131" s="229">
        <f t="shared" si="12"/>
        <v>223.34939999999997</v>
      </c>
      <c r="I131" s="229">
        <f t="shared" si="13"/>
        <v>1464.1794</v>
      </c>
      <c r="J131" s="228">
        <v>0.18</v>
      </c>
    </row>
    <row r="132" spans="1:10" s="6" customFormat="1" ht="36.75" customHeight="1">
      <c r="A132" s="347"/>
      <c r="B132" s="231">
        <v>32</v>
      </c>
      <c r="C132" s="230" t="s">
        <v>724</v>
      </c>
      <c r="D132" s="231" t="s">
        <v>25</v>
      </c>
      <c r="E132" s="231">
        <v>7131338004</v>
      </c>
      <c r="F132" s="213">
        <v>61560</v>
      </c>
      <c r="G132" s="229">
        <f t="shared" si="11"/>
        <v>61560</v>
      </c>
      <c r="H132" s="229"/>
      <c r="I132" s="229"/>
      <c r="J132" s="283" t="s">
        <v>718</v>
      </c>
    </row>
    <row r="133" spans="1:10" s="6" customFormat="1" ht="32.25" customHeight="1">
      <c r="A133" s="347"/>
      <c r="B133" s="231">
        <v>33</v>
      </c>
      <c r="C133" s="230" t="s">
        <v>725</v>
      </c>
      <c r="D133" s="231" t="s">
        <v>25</v>
      </c>
      <c r="E133" s="260">
        <v>7132478004</v>
      </c>
      <c r="F133" s="213">
        <v>1286.5</v>
      </c>
      <c r="G133" s="229">
        <f t="shared" si="11"/>
        <v>1286.5</v>
      </c>
      <c r="H133" s="229">
        <f t="shared" si="12"/>
        <v>231.57</v>
      </c>
      <c r="I133" s="229">
        <f t="shared" si="13"/>
        <v>1518.07</v>
      </c>
      <c r="J133" s="228">
        <v>0.18</v>
      </c>
    </row>
    <row r="134" spans="1:10" s="6" customFormat="1" ht="18.75" customHeight="1">
      <c r="A134" s="347"/>
      <c r="B134" s="231">
        <v>34</v>
      </c>
      <c r="C134" s="230" t="s">
        <v>619</v>
      </c>
      <c r="D134" s="231" t="s">
        <v>25</v>
      </c>
      <c r="E134" s="231">
        <v>7131300082</v>
      </c>
      <c r="F134" s="213">
        <v>617.14</v>
      </c>
      <c r="G134" s="229">
        <f t="shared" si="11"/>
        <v>617.14</v>
      </c>
      <c r="H134" s="229">
        <f t="shared" si="12"/>
        <v>111.0852</v>
      </c>
      <c r="I134" s="229">
        <f t="shared" si="13"/>
        <v>728.22519999999997</v>
      </c>
      <c r="J134" s="228">
        <v>0.18</v>
      </c>
    </row>
    <row r="135" spans="1:10" s="6" customFormat="1" ht="33.75" customHeight="1">
      <c r="A135" s="347"/>
      <c r="B135" s="231">
        <v>35</v>
      </c>
      <c r="C135" s="230" t="s">
        <v>620</v>
      </c>
      <c r="D135" s="231" t="s">
        <v>25</v>
      </c>
      <c r="E135" s="231">
        <v>7131300067</v>
      </c>
      <c r="F135" s="213">
        <v>169.52</v>
      </c>
      <c r="G135" s="229">
        <f t="shared" si="11"/>
        <v>169.52</v>
      </c>
      <c r="H135" s="229"/>
      <c r="I135" s="229"/>
      <c r="J135" s="283" t="s">
        <v>718</v>
      </c>
    </row>
    <row r="136" spans="1:10" s="6" customFormat="1" ht="27.75" customHeight="1">
      <c r="A136" s="347"/>
      <c r="B136" s="231">
        <v>36</v>
      </c>
      <c r="C136" s="230" t="s">
        <v>621</v>
      </c>
      <c r="D136" s="231" t="s">
        <v>25</v>
      </c>
      <c r="E136" s="231">
        <v>7130670027</v>
      </c>
      <c r="F136" s="213">
        <v>113.33</v>
      </c>
      <c r="G136" s="229">
        <f t="shared" si="11"/>
        <v>113.33</v>
      </c>
      <c r="H136" s="229">
        <f t="shared" si="12"/>
        <v>20.3994</v>
      </c>
      <c r="I136" s="229">
        <f t="shared" si="13"/>
        <v>133.7294</v>
      </c>
      <c r="J136" s="228">
        <v>0.18</v>
      </c>
    </row>
    <row r="137" spans="1:10" s="6" customFormat="1" ht="28.5" customHeight="1">
      <c r="A137" s="347"/>
      <c r="B137" s="231">
        <v>37</v>
      </c>
      <c r="C137" s="230" t="s">
        <v>726</v>
      </c>
      <c r="D137" s="231" t="s">
        <v>25</v>
      </c>
      <c r="E137" s="231">
        <v>7131321603</v>
      </c>
      <c r="F137" s="213">
        <v>3752.28</v>
      </c>
      <c r="G137" s="229">
        <f t="shared" si="11"/>
        <v>3752.28</v>
      </c>
      <c r="H137" s="229"/>
      <c r="I137" s="229"/>
      <c r="J137" s="357" t="s">
        <v>718</v>
      </c>
    </row>
    <row r="138" spans="1:10" s="6" customFormat="1" ht="17.25" customHeight="1">
      <c r="A138" s="347"/>
      <c r="B138" s="231">
        <v>38</v>
      </c>
      <c r="C138" s="230" t="s">
        <v>622</v>
      </c>
      <c r="D138" s="231" t="s">
        <v>25</v>
      </c>
      <c r="E138" s="231">
        <v>7132427634</v>
      </c>
      <c r="F138" s="213">
        <v>734.29</v>
      </c>
      <c r="G138" s="229">
        <f t="shared" si="11"/>
        <v>734.29</v>
      </c>
      <c r="H138" s="229"/>
      <c r="I138" s="229"/>
      <c r="J138" s="358"/>
    </row>
    <row r="139" spans="1:10" s="6" customFormat="1" ht="32.25" customHeight="1">
      <c r="A139" s="347"/>
      <c r="B139" s="231">
        <v>39</v>
      </c>
      <c r="C139" s="230" t="s">
        <v>623</v>
      </c>
      <c r="D139" s="231" t="s">
        <v>25</v>
      </c>
      <c r="E139" s="231">
        <v>7132427635</v>
      </c>
      <c r="F139" s="213">
        <v>494.35</v>
      </c>
      <c r="G139" s="229">
        <f t="shared" si="11"/>
        <v>494.35</v>
      </c>
      <c r="H139" s="229"/>
      <c r="I139" s="229"/>
      <c r="J139" s="284" t="s">
        <v>718</v>
      </c>
    </row>
    <row r="140" spans="1:10" s="6" customFormat="1" ht="18.75" customHeight="1">
      <c r="A140" s="347"/>
      <c r="B140" s="231">
        <v>40</v>
      </c>
      <c r="C140" s="230" t="s">
        <v>49</v>
      </c>
      <c r="D140" s="231" t="s">
        <v>57</v>
      </c>
      <c r="E140" s="231">
        <v>7132475019</v>
      </c>
      <c r="F140" s="213">
        <v>294.82</v>
      </c>
      <c r="G140" s="229">
        <f t="shared" si="11"/>
        <v>294.82</v>
      </c>
      <c r="H140" s="229">
        <f t="shared" si="12"/>
        <v>53.067599999999999</v>
      </c>
      <c r="I140" s="229">
        <f t="shared" si="13"/>
        <v>347.88760000000002</v>
      </c>
      <c r="J140" s="228">
        <v>0.18</v>
      </c>
    </row>
    <row r="141" spans="1:10" s="6" customFormat="1" ht="18.75" customHeight="1">
      <c r="A141" s="347"/>
      <c r="B141" s="231">
        <v>41</v>
      </c>
      <c r="C141" s="230" t="s">
        <v>624</v>
      </c>
      <c r="D141" s="231" t="s">
        <v>25</v>
      </c>
      <c r="E141" s="231">
        <v>7132404015</v>
      </c>
      <c r="F141" s="213">
        <v>523.14</v>
      </c>
      <c r="G141" s="229">
        <f t="shared" si="11"/>
        <v>523.14</v>
      </c>
      <c r="H141" s="229">
        <f t="shared" si="12"/>
        <v>94.165199999999999</v>
      </c>
      <c r="I141" s="229">
        <f t="shared" si="13"/>
        <v>617.30520000000001</v>
      </c>
      <c r="J141" s="228">
        <v>0.18</v>
      </c>
    </row>
    <row r="142" spans="1:10" s="6" customFormat="1" ht="18.75" customHeight="1">
      <c r="A142" s="347"/>
      <c r="B142" s="231">
        <v>42</v>
      </c>
      <c r="C142" s="230" t="s">
        <v>625</v>
      </c>
      <c r="D142" s="231" t="s">
        <v>25</v>
      </c>
      <c r="E142" s="231">
        <v>7132404016</v>
      </c>
      <c r="F142" s="213">
        <v>118.3</v>
      </c>
      <c r="G142" s="229">
        <f t="shared" si="11"/>
        <v>118.3</v>
      </c>
      <c r="H142" s="229">
        <f t="shared" si="12"/>
        <v>21.293999999999997</v>
      </c>
      <c r="I142" s="229">
        <f t="shared" si="13"/>
        <v>139.59399999999999</v>
      </c>
      <c r="J142" s="228">
        <v>0.18</v>
      </c>
    </row>
    <row r="143" spans="1:10" s="6" customFormat="1" ht="38.25" customHeight="1">
      <c r="A143" s="347"/>
      <c r="B143" s="231">
        <v>43</v>
      </c>
      <c r="C143" s="230" t="s">
        <v>626</v>
      </c>
      <c r="D143" s="205" t="s">
        <v>60</v>
      </c>
      <c r="E143" s="260">
        <v>7132490006</v>
      </c>
      <c r="F143" s="213">
        <v>4399.5</v>
      </c>
      <c r="G143" s="229">
        <f t="shared" si="11"/>
        <v>4399.5</v>
      </c>
      <c r="H143" s="229">
        <f t="shared" si="12"/>
        <v>791.91</v>
      </c>
      <c r="I143" s="229">
        <f t="shared" si="13"/>
        <v>5191.41</v>
      </c>
      <c r="J143" s="228">
        <v>0.18</v>
      </c>
    </row>
    <row r="144" spans="1:10" s="6" customFormat="1" ht="32.25" customHeight="1">
      <c r="A144" s="347"/>
      <c r="B144" s="231">
        <v>44</v>
      </c>
      <c r="C144" s="212" t="s">
        <v>627</v>
      </c>
      <c r="D144" s="205" t="s">
        <v>60</v>
      </c>
      <c r="E144" s="260">
        <v>7132421002</v>
      </c>
      <c r="F144" s="213">
        <v>4919.66</v>
      </c>
      <c r="G144" s="229">
        <f t="shared" si="11"/>
        <v>4919.66</v>
      </c>
      <c r="H144" s="229">
        <f t="shared" si="12"/>
        <v>885.53879999999992</v>
      </c>
      <c r="I144" s="229">
        <f t="shared" si="13"/>
        <v>5805.1988000000001</v>
      </c>
      <c r="J144" s="228">
        <v>0.18</v>
      </c>
    </row>
    <row r="145" spans="1:13" s="6" customFormat="1" ht="32.25" customHeight="1">
      <c r="A145" s="348"/>
      <c r="B145" s="231">
        <v>45</v>
      </c>
      <c r="C145" s="218" t="s">
        <v>628</v>
      </c>
      <c r="D145" s="219" t="s">
        <v>60</v>
      </c>
      <c r="E145" s="245">
        <v>7132448003</v>
      </c>
      <c r="F145" s="232">
        <v>3706.09</v>
      </c>
      <c r="G145" s="232">
        <f>F145*1.057</f>
        <v>3917.3371299999999</v>
      </c>
      <c r="H145" s="232">
        <f t="shared" si="12"/>
        <v>705.12068339999996</v>
      </c>
      <c r="I145" s="232">
        <f t="shared" si="13"/>
        <v>4622.4578134000003</v>
      </c>
      <c r="J145" s="233">
        <v>0.18</v>
      </c>
    </row>
    <row r="146" spans="1:13" s="6" customFormat="1" ht="18" customHeight="1">
      <c r="A146" s="346">
        <v>103</v>
      </c>
      <c r="B146" s="274"/>
      <c r="C146" s="224" t="s">
        <v>46</v>
      </c>
      <c r="D146" s="247"/>
      <c r="E146" s="248"/>
      <c r="F146" s="234"/>
      <c r="G146" s="234"/>
      <c r="H146" s="234"/>
      <c r="I146" s="234"/>
      <c r="J146" s="267"/>
    </row>
    <row r="147" spans="1:13" s="6" customFormat="1" ht="36" customHeight="1">
      <c r="A147" s="347"/>
      <c r="B147" s="231">
        <v>1</v>
      </c>
      <c r="C147" s="282" t="s">
        <v>629</v>
      </c>
      <c r="D147" s="285" t="s">
        <v>167</v>
      </c>
      <c r="E147" s="231">
        <v>7132461004</v>
      </c>
      <c r="F147" s="213">
        <v>971.82</v>
      </c>
      <c r="G147" s="229">
        <f>F147*1</f>
        <v>971.82</v>
      </c>
      <c r="H147" s="229">
        <f>G147*18%</f>
        <v>174.92760000000001</v>
      </c>
      <c r="I147" s="229">
        <f>G147+H147</f>
        <v>1146.7476000000001</v>
      </c>
      <c r="J147" s="228">
        <v>0.18</v>
      </c>
    </row>
    <row r="148" spans="1:13" s="6" customFormat="1" ht="36" customHeight="1">
      <c r="A148" s="347"/>
      <c r="B148" s="231">
        <v>2</v>
      </c>
      <c r="C148" s="282" t="s">
        <v>630</v>
      </c>
      <c r="D148" s="285" t="s">
        <v>25</v>
      </c>
      <c r="E148" s="231">
        <v>7132461005</v>
      </c>
      <c r="F148" s="213">
        <v>353.39</v>
      </c>
      <c r="G148" s="229">
        <f>F148*1</f>
        <v>353.39</v>
      </c>
      <c r="H148" s="229">
        <f t="shared" ref="H148:H153" si="14">G148*18%</f>
        <v>63.610199999999992</v>
      </c>
      <c r="I148" s="229">
        <f t="shared" ref="I148:I153" si="15">G148+H148</f>
        <v>417.00019999999995</v>
      </c>
      <c r="J148" s="228">
        <v>0.18</v>
      </c>
    </row>
    <row r="149" spans="1:13" s="6" customFormat="1" ht="44.25" customHeight="1">
      <c r="A149" s="347"/>
      <c r="B149" s="231">
        <v>3</v>
      </c>
      <c r="C149" s="282" t="s">
        <v>631</v>
      </c>
      <c r="D149" s="285" t="s">
        <v>4</v>
      </c>
      <c r="E149" s="231">
        <v>7130640027</v>
      </c>
      <c r="F149" s="213">
        <v>884.47</v>
      </c>
      <c r="G149" s="229">
        <f>F149*1.034</f>
        <v>914.54198000000008</v>
      </c>
      <c r="H149" s="229">
        <f t="shared" si="14"/>
        <v>164.61755640000001</v>
      </c>
      <c r="I149" s="229">
        <f t="shared" si="15"/>
        <v>1079.1595364</v>
      </c>
      <c r="J149" s="228">
        <v>0.18</v>
      </c>
    </row>
    <row r="150" spans="1:13" s="6" customFormat="1" ht="36" customHeight="1">
      <c r="A150" s="347"/>
      <c r="B150" s="231">
        <v>4</v>
      </c>
      <c r="C150" s="282" t="s">
        <v>632</v>
      </c>
      <c r="D150" s="285" t="s">
        <v>25</v>
      </c>
      <c r="E150" s="231">
        <v>7130640028</v>
      </c>
      <c r="F150" s="213">
        <v>766.34</v>
      </c>
      <c r="G150" s="229">
        <f>F150*1.034</f>
        <v>792.39556000000005</v>
      </c>
      <c r="H150" s="229">
        <f t="shared" si="14"/>
        <v>142.63120080000002</v>
      </c>
      <c r="I150" s="229">
        <f t="shared" si="15"/>
        <v>935.02676080000003</v>
      </c>
      <c r="J150" s="228">
        <v>0.18</v>
      </c>
    </row>
    <row r="151" spans="1:13" s="6" customFormat="1" ht="38.25" customHeight="1">
      <c r="A151" s="347"/>
      <c r="B151" s="231">
        <v>5</v>
      </c>
      <c r="C151" s="282" t="s">
        <v>633</v>
      </c>
      <c r="D151" s="285" t="s">
        <v>5</v>
      </c>
      <c r="E151" s="231">
        <v>7130640171</v>
      </c>
      <c r="F151" s="213">
        <v>85.37</v>
      </c>
      <c r="G151" s="229">
        <f>F151*1.034</f>
        <v>88.272580000000005</v>
      </c>
      <c r="H151" s="229">
        <f t="shared" si="14"/>
        <v>15.889064400000001</v>
      </c>
      <c r="I151" s="229">
        <f t="shared" si="15"/>
        <v>104.1616444</v>
      </c>
      <c r="J151" s="228">
        <v>0.18</v>
      </c>
    </row>
    <row r="152" spans="1:13" s="6" customFormat="1" ht="40.5" customHeight="1">
      <c r="A152" s="347"/>
      <c r="B152" s="231">
        <v>6</v>
      </c>
      <c r="C152" s="282" t="s">
        <v>634</v>
      </c>
      <c r="D152" s="285" t="s">
        <v>3</v>
      </c>
      <c r="E152" s="285">
        <v>7130640029</v>
      </c>
      <c r="F152" s="213">
        <v>3066.35</v>
      </c>
      <c r="G152" s="229">
        <f>F152*1</f>
        <v>3066.35</v>
      </c>
      <c r="H152" s="229">
        <f t="shared" si="14"/>
        <v>551.94299999999998</v>
      </c>
      <c r="I152" s="229">
        <f t="shared" si="15"/>
        <v>3618.2929999999997</v>
      </c>
      <c r="J152" s="228">
        <v>0.18</v>
      </c>
    </row>
    <row r="153" spans="1:13" s="6" customFormat="1" ht="32.25" customHeight="1">
      <c r="A153" s="347"/>
      <c r="B153" s="231">
        <v>7</v>
      </c>
      <c r="C153" s="282" t="s">
        <v>70</v>
      </c>
      <c r="D153" s="285" t="s">
        <v>3</v>
      </c>
      <c r="E153" s="285">
        <v>7130640030</v>
      </c>
      <c r="F153" s="213">
        <v>3066.67</v>
      </c>
      <c r="G153" s="229">
        <f>F153*1</f>
        <v>3066.67</v>
      </c>
      <c r="H153" s="229">
        <f t="shared" si="14"/>
        <v>552.00059999999996</v>
      </c>
      <c r="I153" s="229">
        <f t="shared" si="15"/>
        <v>3618.6705999999999</v>
      </c>
      <c r="J153" s="228">
        <v>0.18</v>
      </c>
      <c r="K153" s="49" t="s">
        <v>709</v>
      </c>
      <c r="L153" s="49"/>
      <c r="M153" s="49"/>
    </row>
    <row r="154" spans="1:13" s="6" customFormat="1" ht="132.75" customHeight="1">
      <c r="A154" s="347"/>
      <c r="B154" s="231">
        <v>8</v>
      </c>
      <c r="C154" s="286" t="s">
        <v>71</v>
      </c>
      <c r="D154" s="287" t="s">
        <v>60</v>
      </c>
      <c r="E154" s="287"/>
      <c r="F154" s="221">
        <v>471.43</v>
      </c>
      <c r="G154" s="232">
        <f>F154*1.213</f>
        <v>571.84459000000004</v>
      </c>
      <c r="H154" s="232">
        <f>G154*18%</f>
        <v>102.93202620000001</v>
      </c>
      <c r="I154" s="232">
        <f>G154+H154</f>
        <v>674.77661620000003</v>
      </c>
      <c r="J154" s="233">
        <v>0.18</v>
      </c>
    </row>
    <row r="155" spans="1:13" s="6" customFormat="1" ht="28.5" customHeight="1">
      <c r="A155" s="347"/>
      <c r="B155" s="354">
        <v>9</v>
      </c>
      <c r="C155" s="202" t="s">
        <v>765</v>
      </c>
      <c r="D155" s="288"/>
      <c r="E155" s="288"/>
      <c r="F155" s="288"/>
      <c r="G155" s="234"/>
      <c r="H155" s="234"/>
      <c r="I155" s="234"/>
      <c r="J155" s="267"/>
    </row>
    <row r="156" spans="1:13" s="6" customFormat="1" ht="19.5" customHeight="1">
      <c r="A156" s="347"/>
      <c r="B156" s="349"/>
      <c r="C156" s="289" t="s">
        <v>635</v>
      </c>
      <c r="D156" s="281" t="s">
        <v>5</v>
      </c>
      <c r="E156" s="281">
        <v>7130640031</v>
      </c>
      <c r="F156" s="209">
        <v>3672.87</v>
      </c>
      <c r="G156" s="235">
        <f>2617/1.18</f>
        <v>2217.7966101694915</v>
      </c>
      <c r="H156" s="235">
        <f>G156*18%</f>
        <v>399.20338983050846</v>
      </c>
      <c r="I156" s="235">
        <f t="shared" ref="I156:I162" si="16">G156+H156</f>
        <v>2617</v>
      </c>
      <c r="J156" s="236">
        <v>0.18</v>
      </c>
      <c r="K156" s="49" t="s">
        <v>738</v>
      </c>
      <c r="L156" s="49"/>
      <c r="M156" s="49"/>
    </row>
    <row r="157" spans="1:13" s="6" customFormat="1" ht="19.5" customHeight="1">
      <c r="A157" s="347"/>
      <c r="B157" s="349"/>
      <c r="C157" s="268" t="s">
        <v>636</v>
      </c>
      <c r="D157" s="231" t="s">
        <v>5</v>
      </c>
      <c r="E157" s="231">
        <v>7130640036</v>
      </c>
      <c r="F157" s="213">
        <v>7296.1</v>
      </c>
      <c r="G157" s="229">
        <f>5032/1.18</f>
        <v>4264.406779661017</v>
      </c>
      <c r="H157" s="229">
        <f>G157*18%</f>
        <v>767.59322033898309</v>
      </c>
      <c r="I157" s="229">
        <f t="shared" si="16"/>
        <v>5032</v>
      </c>
      <c r="J157" s="228">
        <v>0.18</v>
      </c>
    </row>
    <row r="158" spans="1:13" s="6" customFormat="1" ht="63" customHeight="1">
      <c r="A158" s="347"/>
      <c r="B158" s="290" t="s">
        <v>637</v>
      </c>
      <c r="C158" s="212" t="s">
        <v>638</v>
      </c>
      <c r="D158" s="205" t="s">
        <v>639</v>
      </c>
      <c r="E158" s="231">
        <v>7130640038</v>
      </c>
      <c r="F158" s="213">
        <v>850.83</v>
      </c>
      <c r="G158" s="229">
        <f>F158*1.032</f>
        <v>878.0565600000001</v>
      </c>
      <c r="H158" s="229">
        <f>G158*18%</f>
        <v>158.05018080000002</v>
      </c>
      <c r="I158" s="229">
        <f t="shared" si="16"/>
        <v>1036.1067408000001</v>
      </c>
      <c r="J158" s="228">
        <v>0.18</v>
      </c>
      <c r="K158" s="49" t="s">
        <v>739</v>
      </c>
      <c r="L158" s="49"/>
      <c r="M158" s="49"/>
    </row>
    <row r="159" spans="1:13" s="6" customFormat="1" ht="63" customHeight="1">
      <c r="A159" s="347"/>
      <c r="B159" s="290" t="s">
        <v>640</v>
      </c>
      <c r="C159" s="212" t="s">
        <v>638</v>
      </c>
      <c r="D159" s="205" t="s">
        <v>641</v>
      </c>
      <c r="E159" s="231">
        <v>7130640037</v>
      </c>
      <c r="F159" s="213">
        <v>1089.48</v>
      </c>
      <c r="G159" s="229">
        <f>F159*1.032</f>
        <v>1124.3433600000001</v>
      </c>
      <c r="H159" s="229">
        <f>G159*18%</f>
        <v>202.3818048</v>
      </c>
      <c r="I159" s="229">
        <f t="shared" si="16"/>
        <v>1326.7251648000001</v>
      </c>
      <c r="J159" s="228">
        <v>0.18</v>
      </c>
      <c r="K159" s="73" t="s">
        <v>709</v>
      </c>
      <c r="L159" s="49"/>
      <c r="M159" s="49"/>
    </row>
    <row r="160" spans="1:13" s="6" customFormat="1" ht="20.25" customHeight="1">
      <c r="A160" s="347"/>
      <c r="B160" s="231">
        <v>11</v>
      </c>
      <c r="C160" s="230" t="s">
        <v>642</v>
      </c>
      <c r="D160" s="231" t="s">
        <v>3</v>
      </c>
      <c r="E160" s="205">
        <v>7132498006</v>
      </c>
      <c r="F160" s="213">
        <v>628.57000000000005</v>
      </c>
      <c r="G160" s="214">
        <v>860</v>
      </c>
      <c r="H160" s="214">
        <f>G160*J160</f>
        <v>43</v>
      </c>
      <c r="I160" s="229">
        <f t="shared" si="16"/>
        <v>903</v>
      </c>
      <c r="J160" s="228">
        <v>0.05</v>
      </c>
    </row>
    <row r="161" spans="1:11" s="6" customFormat="1" ht="20.25" customHeight="1">
      <c r="A161" s="347"/>
      <c r="B161" s="231">
        <v>12</v>
      </c>
      <c r="C161" s="230" t="s">
        <v>752</v>
      </c>
      <c r="D161" s="231" t="s">
        <v>643</v>
      </c>
      <c r="E161" s="205">
        <v>7130200401</v>
      </c>
      <c r="F161" s="213">
        <v>228.57</v>
      </c>
      <c r="G161" s="214">
        <v>188</v>
      </c>
      <c r="H161" s="214">
        <f>G161*J161</f>
        <v>52.640000000000008</v>
      </c>
      <c r="I161" s="229">
        <f t="shared" si="16"/>
        <v>240.64000000000001</v>
      </c>
      <c r="J161" s="228">
        <v>0.28000000000000003</v>
      </c>
    </row>
    <row r="162" spans="1:11" s="6" customFormat="1" ht="69" customHeight="1">
      <c r="A162" s="347"/>
      <c r="B162" s="231">
        <v>13</v>
      </c>
      <c r="C162" s="230" t="s">
        <v>644</v>
      </c>
      <c r="D162" s="231" t="s">
        <v>25</v>
      </c>
      <c r="E162" s="231">
        <v>7130200204</v>
      </c>
      <c r="F162" s="213">
        <v>149.88999999999999</v>
      </c>
      <c r="G162" s="229">
        <f t="shared" ref="G162:G175" si="17">F162*1</f>
        <v>149.88999999999999</v>
      </c>
      <c r="H162" s="229">
        <f>G162*18%</f>
        <v>26.980199999999996</v>
      </c>
      <c r="I162" s="229">
        <f t="shared" si="16"/>
        <v>176.87019999999998</v>
      </c>
      <c r="J162" s="228">
        <v>0.18</v>
      </c>
    </row>
    <row r="163" spans="1:11" s="6" customFormat="1" ht="32.25" customHeight="1">
      <c r="A163" s="347"/>
      <c r="B163" s="231">
        <v>14</v>
      </c>
      <c r="C163" s="230" t="s">
        <v>645</v>
      </c>
      <c r="D163" s="230" t="s">
        <v>5</v>
      </c>
      <c r="E163" s="231">
        <v>7130201343</v>
      </c>
      <c r="F163" s="213">
        <f>31398.1/1000</f>
        <v>31.398099999999999</v>
      </c>
      <c r="G163" s="213">
        <v>27.966101694915256</v>
      </c>
      <c r="H163" s="214">
        <f>G163*J163</f>
        <v>5.0338983050847457</v>
      </c>
      <c r="I163" s="213">
        <f>G163+H163</f>
        <v>33</v>
      </c>
      <c r="J163" s="228">
        <v>0.18</v>
      </c>
    </row>
    <row r="164" spans="1:11" s="6" customFormat="1" ht="34.5" customHeight="1">
      <c r="A164" s="347"/>
      <c r="B164" s="231">
        <v>15</v>
      </c>
      <c r="C164" s="230" t="s">
        <v>51</v>
      </c>
      <c r="D164" s="231" t="s">
        <v>52</v>
      </c>
      <c r="E164" s="231">
        <v>7132475019</v>
      </c>
      <c r="F164" s="213">
        <v>124.76</v>
      </c>
      <c r="G164" s="229">
        <f t="shared" si="17"/>
        <v>124.76</v>
      </c>
      <c r="H164" s="229"/>
      <c r="I164" s="229"/>
      <c r="J164" s="291" t="s">
        <v>718</v>
      </c>
    </row>
    <row r="165" spans="1:11" s="6" customFormat="1" ht="34.5" customHeight="1">
      <c r="A165" s="347"/>
      <c r="B165" s="231">
        <v>16</v>
      </c>
      <c r="C165" s="230" t="s">
        <v>646</v>
      </c>
      <c r="D165" s="231" t="s">
        <v>52</v>
      </c>
      <c r="E165" s="231">
        <v>7132476007</v>
      </c>
      <c r="F165" s="213">
        <v>14.29</v>
      </c>
      <c r="G165" s="229">
        <f t="shared" si="17"/>
        <v>14.29</v>
      </c>
      <c r="H165" s="292"/>
      <c r="J165" s="291" t="s">
        <v>718</v>
      </c>
    </row>
    <row r="166" spans="1:11" s="6" customFormat="1" ht="19.5" customHeight="1">
      <c r="A166" s="347"/>
      <c r="B166" s="231">
        <v>17</v>
      </c>
      <c r="C166" s="230" t="s">
        <v>647</v>
      </c>
      <c r="D166" s="231" t="s">
        <v>648</v>
      </c>
      <c r="E166" s="231">
        <v>7130211121</v>
      </c>
      <c r="F166" s="213">
        <v>212.77</v>
      </c>
      <c r="G166" s="229">
        <f t="shared" si="17"/>
        <v>212.77</v>
      </c>
      <c r="H166" s="229">
        <f>G166*18%</f>
        <v>38.2986</v>
      </c>
      <c r="I166" s="229">
        <f>G166+H166</f>
        <v>251.0686</v>
      </c>
      <c r="J166" s="228">
        <v>0.18</v>
      </c>
    </row>
    <row r="167" spans="1:11" s="6" customFormat="1" ht="30.75" customHeight="1">
      <c r="A167" s="347"/>
      <c r="B167" s="231">
        <v>18</v>
      </c>
      <c r="C167" s="230" t="s">
        <v>649</v>
      </c>
      <c r="D167" s="231" t="s">
        <v>52</v>
      </c>
      <c r="E167" s="231">
        <v>7132476008</v>
      </c>
      <c r="F167" s="213">
        <v>67.62</v>
      </c>
      <c r="G167" s="229">
        <f t="shared" si="17"/>
        <v>67.62</v>
      </c>
      <c r="H167" s="292"/>
      <c r="I167" s="215"/>
      <c r="J167" s="355" t="s">
        <v>718</v>
      </c>
    </row>
    <row r="168" spans="1:11" s="6" customFormat="1" ht="20.25" customHeight="1">
      <c r="A168" s="347"/>
      <c r="B168" s="231">
        <v>19</v>
      </c>
      <c r="C168" s="230" t="s">
        <v>47</v>
      </c>
      <c r="D168" s="231" t="s">
        <v>48</v>
      </c>
      <c r="E168" s="231">
        <v>7132478012</v>
      </c>
      <c r="F168" s="213">
        <v>61.9</v>
      </c>
      <c r="G168" s="229">
        <f t="shared" si="17"/>
        <v>61.9</v>
      </c>
      <c r="H168" s="292"/>
      <c r="I168" s="215"/>
      <c r="J168" s="356"/>
    </row>
    <row r="169" spans="1:11" s="6" customFormat="1" ht="18" customHeight="1">
      <c r="A169" s="347"/>
      <c r="B169" s="231">
        <v>20</v>
      </c>
      <c r="C169" s="230" t="s">
        <v>650</v>
      </c>
      <c r="D169" s="231" t="s">
        <v>25</v>
      </c>
      <c r="E169" s="231">
        <v>7132004004</v>
      </c>
      <c r="F169" s="213">
        <v>9.52</v>
      </c>
      <c r="G169" s="229">
        <f t="shared" si="17"/>
        <v>9.52</v>
      </c>
      <c r="H169" s="229">
        <f>G169*18%</f>
        <v>1.7135999999999998</v>
      </c>
      <c r="I169" s="229">
        <f>G169+H169</f>
        <v>11.233599999999999</v>
      </c>
      <c r="J169" s="228">
        <v>0.18</v>
      </c>
    </row>
    <row r="170" spans="1:11" s="6" customFormat="1" ht="54.75" customHeight="1">
      <c r="A170" s="347"/>
      <c r="B170" s="231">
        <v>21</v>
      </c>
      <c r="C170" s="230" t="s">
        <v>721</v>
      </c>
      <c r="D170" s="231" t="s">
        <v>25</v>
      </c>
      <c r="E170" s="231">
        <v>7132455002</v>
      </c>
      <c r="F170" s="213">
        <v>260.95</v>
      </c>
      <c r="G170" s="229">
        <f t="shared" si="17"/>
        <v>260.95</v>
      </c>
      <c r="H170" s="229">
        <f>G170*18%</f>
        <v>46.970999999999997</v>
      </c>
      <c r="I170" s="229">
        <f>G170+H170</f>
        <v>307.92099999999999</v>
      </c>
      <c r="J170" s="228">
        <v>0.18</v>
      </c>
    </row>
    <row r="171" spans="1:11" s="6" customFormat="1" ht="28.5" customHeight="1">
      <c r="A171" s="347"/>
      <c r="B171" s="231">
        <v>22</v>
      </c>
      <c r="C171" s="230" t="s">
        <v>651</v>
      </c>
      <c r="D171" s="231" t="s">
        <v>25</v>
      </c>
      <c r="E171" s="231">
        <v>7132406022</v>
      </c>
      <c r="F171" s="229">
        <v>124.76</v>
      </c>
      <c r="G171" s="229">
        <f t="shared" si="17"/>
        <v>124.76</v>
      </c>
      <c r="H171" s="229">
        <f>G171*18%</f>
        <v>22.456800000000001</v>
      </c>
      <c r="I171" s="229">
        <f>G171+H171</f>
        <v>147.21680000000001</v>
      </c>
      <c r="J171" s="228">
        <v>0.18</v>
      </c>
    </row>
    <row r="172" spans="1:11" s="6" customFormat="1" ht="33" customHeight="1">
      <c r="A172" s="347"/>
      <c r="B172" s="231">
        <v>23</v>
      </c>
      <c r="C172" s="230" t="s">
        <v>652</v>
      </c>
      <c r="D172" s="231" t="s">
        <v>48</v>
      </c>
      <c r="E172" s="231">
        <v>7132490052</v>
      </c>
      <c r="F172" s="229">
        <v>56.19</v>
      </c>
      <c r="G172" s="229">
        <f t="shared" si="17"/>
        <v>56.19</v>
      </c>
      <c r="H172" s="292"/>
      <c r="I172" s="293"/>
      <c r="J172" s="291" t="s">
        <v>718</v>
      </c>
    </row>
    <row r="173" spans="1:11" s="6" customFormat="1" ht="15.75" customHeight="1">
      <c r="A173" s="347"/>
      <c r="B173" s="231">
        <v>24</v>
      </c>
      <c r="C173" s="230" t="s">
        <v>653</v>
      </c>
      <c r="D173" s="231" t="s">
        <v>48</v>
      </c>
      <c r="E173" s="231">
        <v>7132490053</v>
      </c>
      <c r="F173" s="229">
        <v>85.71</v>
      </c>
      <c r="G173" s="229">
        <f t="shared" si="17"/>
        <v>85.71</v>
      </c>
      <c r="H173" s="229">
        <f>G173*18%</f>
        <v>15.427799999999998</v>
      </c>
      <c r="I173" s="229">
        <f t="shared" ref="I173:I178" si="18">G173+H173</f>
        <v>101.1378</v>
      </c>
      <c r="J173" s="228">
        <v>0.18</v>
      </c>
    </row>
    <row r="174" spans="1:11" s="6" customFormat="1" ht="81.75" customHeight="1">
      <c r="A174" s="347"/>
      <c r="B174" s="231">
        <v>25</v>
      </c>
      <c r="C174" s="230" t="s">
        <v>654</v>
      </c>
      <c r="D174" s="293" t="s">
        <v>4</v>
      </c>
      <c r="E174" s="231">
        <v>7130650001</v>
      </c>
      <c r="F174" s="213">
        <v>1076.97</v>
      </c>
      <c r="G174" s="229">
        <f>2860*0.6</f>
        <v>1716</v>
      </c>
      <c r="H174" s="229">
        <f>G174*18%</f>
        <v>308.88</v>
      </c>
      <c r="I174" s="229">
        <f t="shared" si="18"/>
        <v>2024.88</v>
      </c>
      <c r="J174" s="228">
        <v>0.18</v>
      </c>
      <c r="K174" s="48" t="s">
        <v>753</v>
      </c>
    </row>
    <row r="175" spans="1:11" s="6" customFormat="1" ht="18" customHeight="1">
      <c r="A175" s="348"/>
      <c r="B175" s="231">
        <v>26</v>
      </c>
      <c r="C175" s="230" t="s">
        <v>53</v>
      </c>
      <c r="D175" s="231" t="s">
        <v>2</v>
      </c>
      <c r="E175" s="231">
        <v>7130880006</v>
      </c>
      <c r="F175" s="213">
        <v>107.21</v>
      </c>
      <c r="G175" s="229">
        <f t="shared" si="17"/>
        <v>107.21</v>
      </c>
      <c r="H175" s="229">
        <f>G175*18%</f>
        <v>19.297799999999999</v>
      </c>
      <c r="I175" s="229">
        <f t="shared" si="18"/>
        <v>126.50779999999999</v>
      </c>
      <c r="J175" s="228">
        <v>0.18</v>
      </c>
    </row>
    <row r="176" spans="1:11" s="6" customFormat="1" ht="18.75" customHeight="1">
      <c r="A176" s="231">
        <v>104</v>
      </c>
      <c r="B176" s="270"/>
      <c r="C176" s="282" t="s">
        <v>655</v>
      </c>
      <c r="D176" s="294" t="s">
        <v>2</v>
      </c>
      <c r="E176" s="231">
        <v>7130870010</v>
      </c>
      <c r="F176" s="213">
        <v>648.21</v>
      </c>
      <c r="G176" s="229">
        <f>F176*1</f>
        <v>648.21</v>
      </c>
      <c r="H176" s="229">
        <f t="shared" ref="H176:H181" si="19">G176*18%</f>
        <v>116.6778</v>
      </c>
      <c r="I176" s="229">
        <f t="shared" si="18"/>
        <v>764.88780000000008</v>
      </c>
      <c r="J176" s="228">
        <v>0.18</v>
      </c>
    </row>
    <row r="177" spans="1:13" s="6" customFormat="1" ht="29.25" customHeight="1">
      <c r="A177" s="231">
        <v>105</v>
      </c>
      <c r="B177" s="270"/>
      <c r="C177" s="282" t="s">
        <v>54</v>
      </c>
      <c r="D177" s="285" t="s">
        <v>2</v>
      </c>
      <c r="E177" s="231">
        <v>7130880006</v>
      </c>
      <c r="F177" s="213">
        <v>118.13</v>
      </c>
      <c r="G177" s="229">
        <f>F177*1</f>
        <v>118.13</v>
      </c>
      <c r="H177" s="229">
        <f t="shared" si="19"/>
        <v>21.263399999999997</v>
      </c>
      <c r="I177" s="229">
        <f t="shared" si="18"/>
        <v>139.39339999999999</v>
      </c>
      <c r="J177" s="228">
        <v>0.18</v>
      </c>
    </row>
    <row r="178" spans="1:13" s="6" customFormat="1" ht="18" customHeight="1">
      <c r="A178" s="231">
        <v>115</v>
      </c>
      <c r="B178" s="270"/>
      <c r="C178" s="286" t="s">
        <v>76</v>
      </c>
      <c r="D178" s="273" t="s">
        <v>48</v>
      </c>
      <c r="E178" s="231">
        <v>7131397216</v>
      </c>
      <c r="F178" s="221">
        <v>159.05000000000001</v>
      </c>
      <c r="G178" s="232">
        <f>F178*1</f>
        <v>159.05000000000001</v>
      </c>
      <c r="H178" s="232">
        <f t="shared" si="19"/>
        <v>28.629000000000001</v>
      </c>
      <c r="I178" s="232">
        <f t="shared" si="18"/>
        <v>187.679</v>
      </c>
      <c r="J178" s="233">
        <v>0.18</v>
      </c>
    </row>
    <row r="179" spans="1:13" s="6" customFormat="1" ht="18.75" customHeight="1">
      <c r="A179" s="349">
        <v>116</v>
      </c>
      <c r="B179" s="295"/>
      <c r="C179" s="296" t="s">
        <v>722</v>
      </c>
      <c r="D179" s="297"/>
      <c r="E179" s="298"/>
      <c r="F179" s="299"/>
      <c r="G179" s="234"/>
      <c r="H179" s="234"/>
      <c r="I179" s="234"/>
      <c r="J179" s="267"/>
    </row>
    <row r="180" spans="1:13" s="6" customFormat="1" ht="27.75" customHeight="1">
      <c r="A180" s="349"/>
      <c r="B180" s="285" t="s">
        <v>8</v>
      </c>
      <c r="C180" s="300" t="s">
        <v>77</v>
      </c>
      <c r="D180" s="301" t="s">
        <v>60</v>
      </c>
      <c r="E180" s="231">
        <v>7132010551</v>
      </c>
      <c r="F180" s="209">
        <v>7495.24</v>
      </c>
      <c r="G180" s="235">
        <f t="shared" ref="G180:G185" si="20">F180*1</f>
        <v>7495.24</v>
      </c>
      <c r="H180" s="235">
        <f t="shared" si="19"/>
        <v>1349.1432</v>
      </c>
      <c r="I180" s="235">
        <f>G180+H180</f>
        <v>8844.3832000000002</v>
      </c>
      <c r="J180" s="228">
        <v>0.18</v>
      </c>
    </row>
    <row r="181" spans="1:13" s="6" customFormat="1" ht="30.75" customHeight="1">
      <c r="A181" s="349"/>
      <c r="B181" s="285" t="s">
        <v>11</v>
      </c>
      <c r="C181" s="282" t="s">
        <v>78</v>
      </c>
      <c r="D181" s="294" t="s">
        <v>57</v>
      </c>
      <c r="E181" s="244"/>
      <c r="F181" s="231">
        <v>9047.6200000000008</v>
      </c>
      <c r="G181" s="229">
        <f t="shared" si="20"/>
        <v>9047.6200000000008</v>
      </c>
      <c r="H181" s="229">
        <f t="shared" si="19"/>
        <v>1628.5716</v>
      </c>
      <c r="I181" s="229">
        <f>G181+H181</f>
        <v>10676.1916</v>
      </c>
      <c r="J181" s="228">
        <v>0.18</v>
      </c>
    </row>
    <row r="182" spans="1:13" s="6" customFormat="1" ht="36" customHeight="1">
      <c r="A182" s="231">
        <v>118</v>
      </c>
      <c r="B182" s="270"/>
      <c r="C182" s="282" t="s">
        <v>79</v>
      </c>
      <c r="D182" s="294" t="s">
        <v>2</v>
      </c>
      <c r="E182" s="231">
        <v>7131210840</v>
      </c>
      <c r="F182" s="229">
        <v>14104.76</v>
      </c>
      <c r="G182" s="229">
        <f t="shared" si="20"/>
        <v>14104.76</v>
      </c>
      <c r="H182" s="292"/>
      <c r="I182" s="293"/>
      <c r="J182" s="302" t="s">
        <v>718</v>
      </c>
    </row>
    <row r="183" spans="1:13" s="6" customFormat="1" ht="18" customHeight="1">
      <c r="A183" s="231">
        <v>119</v>
      </c>
      <c r="B183" s="270"/>
      <c r="C183" s="212" t="s">
        <v>80</v>
      </c>
      <c r="D183" s="205" t="s">
        <v>60</v>
      </c>
      <c r="E183" s="303">
        <v>7131920028</v>
      </c>
      <c r="F183" s="229">
        <v>9243.81</v>
      </c>
      <c r="G183" s="229">
        <f t="shared" si="20"/>
        <v>9243.81</v>
      </c>
      <c r="H183" s="229">
        <f>G183*18%</f>
        <v>1663.8857999999998</v>
      </c>
      <c r="I183" s="229">
        <f>G183+H183</f>
        <v>10907.6958</v>
      </c>
      <c r="J183" s="228">
        <v>0.18</v>
      </c>
      <c r="K183" s="55" t="s">
        <v>709</v>
      </c>
      <c r="L183" s="49"/>
      <c r="M183" s="49"/>
    </row>
    <row r="184" spans="1:13" s="6" customFormat="1" ht="21" customHeight="1">
      <c r="A184" s="231">
        <v>120</v>
      </c>
      <c r="B184" s="270"/>
      <c r="C184" s="212" t="s">
        <v>81</v>
      </c>
      <c r="D184" s="205" t="s">
        <v>688</v>
      </c>
      <c r="E184" s="303">
        <v>7132406800</v>
      </c>
      <c r="F184" s="229">
        <v>6576.19</v>
      </c>
      <c r="G184" s="229">
        <f>F184*1.213</f>
        <v>7976.9184699999996</v>
      </c>
      <c r="H184" s="229">
        <f>G184*18%</f>
        <v>1435.8453245999999</v>
      </c>
      <c r="I184" s="229">
        <f>G184+H184</f>
        <v>9412.7637945999995</v>
      </c>
      <c r="J184" s="228">
        <v>0.18</v>
      </c>
    </row>
    <row r="185" spans="1:13" s="6" customFormat="1" ht="41.25" customHeight="1">
      <c r="A185" s="231">
        <v>121</v>
      </c>
      <c r="B185" s="270"/>
      <c r="C185" s="212" t="s">
        <v>82</v>
      </c>
      <c r="D185" s="231" t="s">
        <v>688</v>
      </c>
      <c r="E185" s="216">
        <v>7132486843</v>
      </c>
      <c r="F185" s="232">
        <v>8945.7099999999991</v>
      </c>
      <c r="G185" s="229">
        <f t="shared" si="20"/>
        <v>8945.7099999999991</v>
      </c>
      <c r="H185" s="292"/>
      <c r="J185" s="293" t="s">
        <v>718</v>
      </c>
    </row>
    <row r="186" spans="1:13" s="6" customFormat="1" ht="19.5" customHeight="1">
      <c r="A186" s="231">
        <v>122</v>
      </c>
      <c r="B186" s="270"/>
      <c r="C186" s="212" t="s">
        <v>83</v>
      </c>
      <c r="D186" s="205" t="s">
        <v>5</v>
      </c>
      <c r="E186" s="216">
        <v>7130640008</v>
      </c>
      <c r="F186" s="213">
        <v>150.27000000000001</v>
      </c>
      <c r="G186" s="214">
        <v>158</v>
      </c>
      <c r="H186" s="214"/>
      <c r="I186" s="214">
        <v>158</v>
      </c>
      <c r="J186" s="215"/>
    </row>
    <row r="187" spans="1:13" ht="18.75" customHeight="1">
      <c r="A187" s="231">
        <v>123</v>
      </c>
      <c r="B187" s="304"/>
      <c r="C187" s="212" t="s">
        <v>740</v>
      </c>
      <c r="D187" s="231" t="s">
        <v>48</v>
      </c>
      <c r="E187" s="261"/>
      <c r="F187" s="229">
        <v>28.17</v>
      </c>
      <c r="G187" s="229">
        <f>F187*1.142</f>
        <v>32.170139999999996</v>
      </c>
      <c r="H187" s="229">
        <f>G187*18%</f>
        <v>5.7906251999999991</v>
      </c>
      <c r="I187" s="214">
        <f>G187+H187</f>
        <v>37.960765199999997</v>
      </c>
      <c r="J187" s="228">
        <v>0.18</v>
      </c>
    </row>
    <row r="188" spans="1:13" ht="31.5" customHeight="1">
      <c r="A188" s="231">
        <v>124</v>
      </c>
      <c r="B188" s="231"/>
      <c r="C188" s="212" t="s">
        <v>731</v>
      </c>
      <c r="D188" s="231" t="s">
        <v>2</v>
      </c>
      <c r="E188" s="52"/>
      <c r="F188" s="52"/>
      <c r="G188" s="213">
        <v>122.00435729847494</v>
      </c>
      <c r="H188" s="229">
        <f>G188*18%</f>
        <v>21.96078431372549</v>
      </c>
      <c r="I188" s="214">
        <f>G188+H188</f>
        <v>143.96514161220043</v>
      </c>
      <c r="J188" s="228">
        <v>0.18</v>
      </c>
      <c r="K188" s="340" t="s">
        <v>762</v>
      </c>
    </row>
    <row r="189" spans="1:13" ht="29.25" customHeight="1">
      <c r="A189" s="231">
        <v>125</v>
      </c>
      <c r="B189" s="61"/>
      <c r="C189" s="212" t="s">
        <v>732</v>
      </c>
      <c r="D189" s="231" t="s">
        <v>2</v>
      </c>
      <c r="E189" s="61"/>
      <c r="F189" s="61"/>
      <c r="G189" s="213">
        <v>95.860566448801748</v>
      </c>
      <c r="H189" s="229">
        <f t="shared" ref="H189:H196" si="21">G189*18%</f>
        <v>17.254901960784313</v>
      </c>
      <c r="I189" s="214">
        <f>G189+H189</f>
        <v>113.11546840958606</v>
      </c>
      <c r="J189" s="228">
        <v>0.18</v>
      </c>
      <c r="K189" s="340"/>
    </row>
    <row r="190" spans="1:13" ht="16.5" customHeight="1">
      <c r="A190" s="231">
        <v>126</v>
      </c>
      <c r="B190" s="61"/>
      <c r="C190" s="305" t="s">
        <v>733</v>
      </c>
      <c r="D190" s="306" t="s">
        <v>2</v>
      </c>
      <c r="E190" s="61"/>
      <c r="F190" s="61"/>
      <c r="G190" s="213">
        <v>8.7145969498910674</v>
      </c>
      <c r="H190" s="229">
        <f t="shared" si="21"/>
        <v>1.5686274509803921</v>
      </c>
      <c r="I190" s="214">
        <f t="shared" ref="I190:I196" si="22">G190+H190</f>
        <v>10.283224400871459</v>
      </c>
      <c r="J190" s="228">
        <v>0.18</v>
      </c>
      <c r="K190" s="341" t="s">
        <v>762</v>
      </c>
    </row>
    <row r="191" spans="1:13" ht="19.5" customHeight="1">
      <c r="A191" s="231">
        <v>127</v>
      </c>
      <c r="B191" s="61"/>
      <c r="C191" s="305" t="s">
        <v>734</v>
      </c>
      <c r="D191" s="306" t="s">
        <v>2</v>
      </c>
      <c r="E191" s="61"/>
      <c r="F191" s="61"/>
      <c r="G191" s="213">
        <v>21.786492374727668</v>
      </c>
      <c r="H191" s="229">
        <f t="shared" si="21"/>
        <v>3.9215686274509802</v>
      </c>
      <c r="I191" s="214">
        <f t="shared" si="22"/>
        <v>25.708061002178649</v>
      </c>
      <c r="J191" s="228">
        <v>0.18</v>
      </c>
      <c r="K191" s="341"/>
    </row>
    <row r="192" spans="1:13" ht="18" customHeight="1">
      <c r="A192" s="231">
        <v>128</v>
      </c>
      <c r="B192" s="61"/>
      <c r="C192" s="305" t="s">
        <v>735</v>
      </c>
      <c r="D192" s="306" t="s">
        <v>2</v>
      </c>
      <c r="E192" s="61"/>
      <c r="F192" s="61"/>
      <c r="G192" s="213">
        <v>13.071895424836601</v>
      </c>
      <c r="H192" s="229">
        <f t="shared" si="21"/>
        <v>2.3529411764705883</v>
      </c>
      <c r="I192" s="214">
        <f t="shared" si="22"/>
        <v>15.42483660130719</v>
      </c>
      <c r="J192" s="228">
        <v>0.18</v>
      </c>
      <c r="K192" s="341"/>
    </row>
    <row r="193" spans="1:11" ht="55.5" customHeight="1">
      <c r="A193" s="231">
        <v>129</v>
      </c>
      <c r="B193" s="61"/>
      <c r="C193" s="307" t="s">
        <v>736</v>
      </c>
      <c r="D193" s="306" t="s">
        <v>2</v>
      </c>
      <c r="E193" s="61"/>
      <c r="F193" s="61"/>
      <c r="G193" s="213">
        <v>43.572984749455337</v>
      </c>
      <c r="H193" s="229">
        <f t="shared" si="21"/>
        <v>7.8431372549019605</v>
      </c>
      <c r="I193" s="214">
        <f t="shared" si="22"/>
        <v>51.416122004357298</v>
      </c>
      <c r="J193" s="228">
        <v>0.18</v>
      </c>
      <c r="K193" s="60" t="s">
        <v>762</v>
      </c>
    </row>
    <row r="194" spans="1:11" ht="43.5" customHeight="1">
      <c r="A194" s="231">
        <v>130</v>
      </c>
      <c r="B194" s="61"/>
      <c r="C194" s="307" t="s">
        <v>750</v>
      </c>
      <c r="D194" s="306" t="s">
        <v>167</v>
      </c>
      <c r="E194" s="61"/>
      <c r="F194" s="61"/>
      <c r="G194" s="213">
        <v>5.9259259259259256</v>
      </c>
      <c r="H194" s="229">
        <f t="shared" si="21"/>
        <v>1.0666666666666667</v>
      </c>
      <c r="I194" s="214">
        <f t="shared" si="22"/>
        <v>6.992592592592592</v>
      </c>
      <c r="J194" s="228">
        <v>0.18</v>
      </c>
      <c r="K194" s="341" t="s">
        <v>762</v>
      </c>
    </row>
    <row r="195" spans="1:11" ht="30.75" customHeight="1">
      <c r="A195" s="231">
        <v>131</v>
      </c>
      <c r="B195" s="61"/>
      <c r="C195" s="307" t="s">
        <v>749</v>
      </c>
      <c r="D195" s="306" t="s">
        <v>737</v>
      </c>
      <c r="E195" s="61"/>
      <c r="F195" s="61"/>
      <c r="G195" s="213">
        <v>4.7320261437908497</v>
      </c>
      <c r="H195" s="229">
        <f t="shared" si="21"/>
        <v>0.85176470588235287</v>
      </c>
      <c r="I195" s="214">
        <f t="shared" si="22"/>
        <v>5.5837908496732025</v>
      </c>
      <c r="J195" s="228">
        <v>0.18</v>
      </c>
      <c r="K195" s="342"/>
    </row>
    <row r="196" spans="1:11" ht="21" customHeight="1">
      <c r="A196" s="231">
        <v>132</v>
      </c>
      <c r="B196" s="268"/>
      <c r="C196" s="268" t="s">
        <v>763</v>
      </c>
      <c r="D196" s="306" t="s">
        <v>2</v>
      </c>
      <c r="E196" s="61"/>
      <c r="F196" s="61"/>
      <c r="G196" s="213">
        <v>5</v>
      </c>
      <c r="H196" s="213">
        <f t="shared" si="21"/>
        <v>0.89999999999999991</v>
      </c>
      <c r="I196" s="213">
        <f t="shared" si="22"/>
        <v>5.9</v>
      </c>
      <c r="J196" s="228">
        <v>0.18</v>
      </c>
    </row>
    <row r="197" spans="1:11">
      <c r="A197" s="71"/>
      <c r="B197" s="71"/>
      <c r="C197" s="71"/>
      <c r="D197" s="71"/>
      <c r="E197" s="71"/>
      <c r="F197" s="71"/>
      <c r="G197" s="71"/>
      <c r="H197" s="71"/>
      <c r="I197" s="71"/>
      <c r="J197" s="71"/>
    </row>
    <row r="198" spans="1:11">
      <c r="A198" s="71"/>
      <c r="B198" s="71"/>
      <c r="C198" s="71"/>
      <c r="D198" s="71"/>
      <c r="E198" s="71"/>
      <c r="F198" s="71"/>
      <c r="G198" s="71"/>
      <c r="H198" s="71"/>
      <c r="I198" s="71"/>
      <c r="J198" s="71"/>
    </row>
  </sheetData>
  <mergeCells count="32">
    <mergeCell ref="J167:J168"/>
    <mergeCell ref="J137:J138"/>
    <mergeCell ref="D4:D5"/>
    <mergeCell ref="E4:E5"/>
    <mergeCell ref="F4:F5"/>
    <mergeCell ref="H2:I2"/>
    <mergeCell ref="H3:I3"/>
    <mergeCell ref="G4:I4"/>
    <mergeCell ref="A146:A175"/>
    <mergeCell ref="A85:A90"/>
    <mergeCell ref="A93:A95"/>
    <mergeCell ref="A98:A99"/>
    <mergeCell ref="A100:A145"/>
    <mergeCell ref="A76:A80"/>
    <mergeCell ref="A81:A84"/>
    <mergeCell ref="B155:B157"/>
    <mergeCell ref="B1:H1"/>
    <mergeCell ref="K188:K189"/>
    <mergeCell ref="K190:K192"/>
    <mergeCell ref="K194:K195"/>
    <mergeCell ref="A4:A5"/>
    <mergeCell ref="B4:C5"/>
    <mergeCell ref="B6:C6"/>
    <mergeCell ref="A7:A13"/>
    <mergeCell ref="A14:A16"/>
    <mergeCell ref="A22:A28"/>
    <mergeCell ref="A35:A44"/>
    <mergeCell ref="A47:A55"/>
    <mergeCell ref="A29:A32"/>
    <mergeCell ref="J4:J5"/>
    <mergeCell ref="A56:A75"/>
    <mergeCell ref="A179:A181"/>
  </mergeCells>
  <pageMargins left="0.84" right="0.15748031496063" top="0.59" bottom="0.33" header="0.44" footer="0.15748031496063"/>
  <pageSetup paperSize="9" fitToHeight="4" orientation="landscape" r:id="rId1"/>
  <headerFooter>
    <oddFooter xml:space="preserve">&amp;C 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ANNEXURE-1</vt:lpstr>
      <vt:lpstr>ANNEXURE-2</vt:lpstr>
      <vt:lpstr>ANNEXURE-3</vt:lpstr>
      <vt:lpstr>'ANNEXURE-1'!Print_Titles</vt:lpstr>
      <vt:lpstr>'ANNEXURE-2'!Print_Titles</vt:lpstr>
      <vt:lpstr>'ANNEXURE-3'!Print_Titles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2018-07-31T11:06:40Z</dcterms:modified>
</cp:coreProperties>
</file>